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S:\E3 Projects\SCE Building Electrification\Cost Estimation\"/>
    </mc:Choice>
  </mc:AlternateContent>
  <xr:revisionPtr revIDLastSave="0" documentId="13_ncr:1_{C10AC706-D808-4DDB-9B8D-2F73F5D889AC}" xr6:coauthVersionLast="40" xr6:coauthVersionMax="40" xr10:uidLastSave="{00000000-0000-0000-0000-000000000000}"/>
  <bookViews>
    <workbookView xWindow="45" yWindow="60" windowWidth="10605" windowHeight="9630" tabRatio="888" xr2:uid="{00000000-000D-0000-FFFF-FFFF00000000}"/>
  </bookViews>
  <sheets>
    <sheet name="Summary" sheetId="129" r:id="rId1"/>
    <sheet name="Sheet1" sheetId="128" r:id="rId2"/>
    <sheet name="LRMF NC Gas Z3" sheetId="3" r:id="rId3"/>
    <sheet name="LRMF NC Gas Z4" sheetId="6" r:id="rId4"/>
    <sheet name="LRMF NC Gas Z6" sheetId="45" r:id="rId5"/>
    <sheet name="LRMF NC Gas Z9" sheetId="47" r:id="rId6"/>
    <sheet name="LRMF NC Gas Z10" sheetId="49" r:id="rId7"/>
    <sheet name="LRMF NC Gas Z12" sheetId="51" r:id="rId8"/>
    <sheet name="LRMF 90 Gas Z3" sheetId="5" r:id="rId9"/>
    <sheet name="LRMF 90 Gas Z4" sheetId="9" r:id="rId10"/>
    <sheet name="LRMF 90 Gas Z6" sheetId="53" r:id="rId11"/>
    <sheet name="LRMF 90 Gas Z9" sheetId="55" r:id="rId12"/>
    <sheet name="LRMF 90 Gas Z10" sheetId="57" r:id="rId13"/>
    <sheet name="LRMF 90 Gas Z12" sheetId="59" r:id="rId14"/>
    <sheet name="LRMF 78 Gas Z3" sheetId="11" r:id="rId15"/>
    <sheet name="LRMF 78 Gas Z4" sheetId="12" r:id="rId16"/>
    <sheet name="LRMF 78 Gas Z6" sheetId="62" r:id="rId17"/>
    <sheet name="LRMF 78 Gas Z9" sheetId="64" r:id="rId18"/>
    <sheet name="LRMF 78 Gas Z10" sheetId="13" r:id="rId19"/>
    <sheet name="LRMF 78 Gas Z12" sheetId="66" r:id="rId20"/>
    <sheet name="LRMF NC Electric Z3 S" sheetId="4" r:id="rId21"/>
    <sheet name="LRMF NC Electric Z3 O1" sheetId="117" r:id="rId22"/>
    <sheet name="LRMF NC Electric Z3 O2" sheetId="118" r:id="rId23"/>
    <sheet name="LRMF NC Electric Z4" sheetId="7" r:id="rId24"/>
    <sheet name="LRMF NC Electric Z6" sheetId="46" r:id="rId25"/>
    <sheet name="LRMF NC Electric Z9" sheetId="48" r:id="rId26"/>
    <sheet name="LRMF NC Electric Z10" sheetId="50" r:id="rId27"/>
    <sheet name="LRMF NC Electric Z12" sheetId="52" r:id="rId28"/>
    <sheet name="LRMF 90 Electric Z3 S" sheetId="8" r:id="rId29"/>
    <sheet name="LRMF 90 Electric Z3 O1" sheetId="119" r:id="rId30"/>
    <sheet name="LRMF 90 Electric Z3 O2" sheetId="120" r:id="rId31"/>
    <sheet name="LRMF 90 Electric Z4" sheetId="10" r:id="rId32"/>
    <sheet name="LRMF 90 Electric Z6" sheetId="54" r:id="rId33"/>
    <sheet name="LRMF 90 Electric Z9" sheetId="56" r:id="rId34"/>
    <sheet name="LRMF 90 Electric Z10" sheetId="58" r:id="rId35"/>
    <sheet name="LRMF 90 Electric Z12" sheetId="60" r:id="rId36"/>
    <sheet name="LRMF 78 Electric Z3 S" sheetId="14" r:id="rId37"/>
    <sheet name="LRMF 78 Electric Z3 O1" sheetId="121" r:id="rId38"/>
    <sheet name="LRMF 78 Electric Z4" sheetId="15" r:id="rId39"/>
    <sheet name="LRMF 78 Electric Z6" sheetId="63" r:id="rId40"/>
    <sheet name="LRMF 78 Electric Z9" sheetId="65" r:id="rId41"/>
    <sheet name="LRMF 78 Electric Z10" sheetId="16" r:id="rId42"/>
    <sheet name="LRMF 78 Electric Z12" sheetId="67" r:id="rId43"/>
    <sheet name="HRMF NC Gas Z3" sheetId="30" state="hidden" r:id="rId44"/>
    <sheet name="HRMF NC Electric Z3" sheetId="32" state="hidden" r:id="rId45"/>
    <sheet name="HRMF NC Gas Z4" sheetId="31" state="hidden" r:id="rId46"/>
    <sheet name="HRMF NC Electric Z4" sheetId="33" state="hidden" r:id="rId47"/>
    <sheet name="HRMF NC Gas Z6" sheetId="93" state="hidden" r:id="rId48"/>
    <sheet name="HRMF NC Electric Z6" sheetId="94" state="hidden" r:id="rId49"/>
    <sheet name="HRMF NC Gas Z9" sheetId="95" state="hidden" r:id="rId50"/>
    <sheet name="HRMF NC Electric Z9" sheetId="96" state="hidden" r:id="rId51"/>
    <sheet name="HRMF NC Gas Z10" sheetId="97" state="hidden" r:id="rId52"/>
    <sheet name="HRMF NC Electric Z10" sheetId="98" state="hidden" r:id="rId53"/>
    <sheet name="HRMF NC Gas Z12" sheetId="99" state="hidden" r:id="rId54"/>
    <sheet name="HRMF NC Electric Z12" sheetId="100" state="hidden" r:id="rId55"/>
    <sheet name="HRMF 90 Gas Z3" sheetId="34" state="hidden" r:id="rId56"/>
    <sheet name="HRMF 90 Electric Z3" sheetId="36" state="hidden" r:id="rId57"/>
    <sheet name="HRMF 90 Gas Z4" sheetId="35" state="hidden" r:id="rId58"/>
    <sheet name="HRMF 90 Electric Z4" sheetId="37" state="hidden" r:id="rId59"/>
    <sheet name="HRMF 90 Gas Z6" sheetId="101" state="hidden" r:id="rId60"/>
    <sheet name="HRMF 90 Electric Z6" sheetId="102" state="hidden" r:id="rId61"/>
    <sheet name="HRMF 90 Gas Z9" sheetId="104" state="hidden" r:id="rId62"/>
    <sheet name="HRMF 90 Electric Z9" sheetId="103" state="hidden" r:id="rId63"/>
    <sheet name="HRMF 90 Gas Z10" sheetId="105" state="hidden" r:id="rId64"/>
    <sheet name="HRMF 90 Electric Z10" sheetId="106" state="hidden" r:id="rId65"/>
    <sheet name="HRMF 90 Gas Z12" sheetId="107" state="hidden" r:id="rId66"/>
    <sheet name="HRMF 90 Electric Z12" sheetId="108" state="hidden" r:id="rId67"/>
    <sheet name="HRMF 78 Gas Z3" sheetId="38" state="hidden" r:id="rId68"/>
    <sheet name="HRMF 78 Electric Z3" sheetId="40" state="hidden" r:id="rId69"/>
    <sheet name="HRMF 78 Gas Z4" sheetId="39" state="hidden" r:id="rId70"/>
    <sheet name="HRMF 78 Electric Z4" sheetId="41" state="hidden" r:id="rId71"/>
    <sheet name="HRMF 78 Gas Z6" sheetId="109" state="hidden" r:id="rId72"/>
    <sheet name="HRMF 78 Electric Z6" sheetId="110" state="hidden" r:id="rId73"/>
    <sheet name="HRMF 78 Gas Z9" sheetId="111" state="hidden" r:id="rId74"/>
    <sheet name="HRMF 78 Electric Z9" sheetId="112" state="hidden" r:id="rId75"/>
    <sheet name="HRMF 78 Gas Z10" sheetId="113" state="hidden" r:id="rId76"/>
    <sheet name="HRMF 78 Electric Z10" sheetId="114" state="hidden" r:id="rId77"/>
    <sheet name="HRMF 78 Gas Z12" sheetId="115" state="hidden" r:id="rId78"/>
    <sheet name="HRMF 78 Electric Z12" sheetId="116" state="hidden" r:id="rId79"/>
    <sheet name="HVAC" sheetId="1" state="hidden" r:id="rId80"/>
  </sheets>
  <definedNames>
    <definedName name="zone_lu">Sheet1!$B$4:$I$9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121" l="1"/>
  <c r="H31" i="121" s="1"/>
  <c r="H29" i="121"/>
  <c r="H28" i="121"/>
  <c r="H26" i="121"/>
  <c r="G24" i="121"/>
  <c r="E24" i="121"/>
  <c r="H23" i="121"/>
  <c r="H20" i="121"/>
  <c r="H19" i="121"/>
  <c r="G31" i="15"/>
  <c r="H31" i="15" s="1"/>
  <c r="H29" i="15"/>
  <c r="H28" i="15"/>
  <c r="H26" i="15"/>
  <c r="G24" i="15"/>
  <c r="H24" i="15" s="1"/>
  <c r="E24" i="15"/>
  <c r="H23" i="15"/>
  <c r="H20" i="15"/>
  <c r="H19" i="15"/>
  <c r="G31" i="63"/>
  <c r="H31" i="63" s="1"/>
  <c r="H29" i="63"/>
  <c r="H28" i="63"/>
  <c r="H26" i="63"/>
  <c r="G24" i="63"/>
  <c r="E24" i="63"/>
  <c r="H23" i="63"/>
  <c r="H20" i="63"/>
  <c r="H19" i="63"/>
  <c r="G31" i="65"/>
  <c r="H31" i="65" s="1"/>
  <c r="H29" i="65"/>
  <c r="H28" i="65"/>
  <c r="H26" i="65"/>
  <c r="G24" i="65"/>
  <c r="E24" i="65"/>
  <c r="H23" i="65"/>
  <c r="H20" i="65"/>
  <c r="H19" i="65"/>
  <c r="G31" i="16"/>
  <c r="H31" i="16" s="1"/>
  <c r="H29" i="16"/>
  <c r="H28" i="16"/>
  <c r="H26" i="16"/>
  <c r="G24" i="16"/>
  <c r="H24" i="16" s="1"/>
  <c r="E24" i="16"/>
  <c r="H23" i="16"/>
  <c r="H20" i="16"/>
  <c r="H19" i="16"/>
  <c r="G31" i="67"/>
  <c r="H31" i="67" s="1"/>
  <c r="H29" i="67"/>
  <c r="H28" i="67"/>
  <c r="H26" i="67"/>
  <c r="G24" i="67"/>
  <c r="E24" i="67"/>
  <c r="H23" i="67"/>
  <c r="H20" i="67"/>
  <c r="H19" i="67"/>
  <c r="E24" i="14"/>
  <c r="H32" i="62"/>
  <c r="G31" i="62"/>
  <c r="H31" i="62" s="1"/>
  <c r="H28" i="62"/>
  <c r="H26" i="62"/>
  <c r="G24" i="62"/>
  <c r="H24" i="62" s="1"/>
  <c r="H23" i="62"/>
  <c r="H20" i="62"/>
  <c r="H32" i="64"/>
  <c r="G31" i="64"/>
  <c r="H31" i="64" s="1"/>
  <c r="H28" i="64"/>
  <c r="H26" i="64"/>
  <c r="G24" i="64"/>
  <c r="H24" i="64" s="1"/>
  <c r="H23" i="64"/>
  <c r="H20" i="64"/>
  <c r="H32" i="13"/>
  <c r="G31" i="13"/>
  <c r="H31" i="13" s="1"/>
  <c r="H28" i="13"/>
  <c r="H26" i="13"/>
  <c r="G24" i="13"/>
  <c r="H24" i="13" s="1"/>
  <c r="H23" i="13"/>
  <c r="H20" i="13"/>
  <c r="H32" i="66"/>
  <c r="G31" i="66"/>
  <c r="H31" i="66" s="1"/>
  <c r="H28" i="66"/>
  <c r="H26" i="66"/>
  <c r="G24" i="66"/>
  <c r="H24" i="66" s="1"/>
  <c r="H23" i="66"/>
  <c r="H20" i="66"/>
  <c r="H32" i="12"/>
  <c r="G31" i="12"/>
  <c r="H31" i="12" s="1"/>
  <c r="H28" i="12"/>
  <c r="H26" i="12"/>
  <c r="G24" i="12"/>
  <c r="H24" i="12" s="1"/>
  <c r="H23" i="12"/>
  <c r="H20" i="12"/>
  <c r="H26" i="11"/>
  <c r="I45" i="129"/>
  <c r="I19" i="129"/>
  <c r="I26" i="129"/>
  <c r="I37" i="129"/>
  <c r="I39" i="129"/>
  <c r="I27" i="129"/>
  <c r="I23" i="129"/>
  <c r="I22" i="129"/>
  <c r="I43" i="129"/>
  <c r="I20" i="129"/>
  <c r="I31" i="129"/>
  <c r="I34" i="129"/>
  <c r="I38" i="129"/>
  <c r="I28" i="129"/>
  <c r="I24" i="129"/>
  <c r="I33" i="129"/>
  <c r="I36" i="129"/>
  <c r="I41" i="129"/>
  <c r="I21" i="129"/>
  <c r="I25" i="129"/>
  <c r="I30" i="129"/>
  <c r="I44" i="129"/>
  <c r="I42" i="129"/>
  <c r="I29" i="129"/>
  <c r="I18" i="129"/>
  <c r="I35" i="129"/>
  <c r="I40" i="129"/>
  <c r="H24" i="121" l="1"/>
  <c r="H24" i="67"/>
  <c r="H24" i="65"/>
  <c r="H24" i="63"/>
  <c r="E24" i="59"/>
  <c r="E24" i="57"/>
  <c r="E24" i="55"/>
  <c r="E24" i="53"/>
  <c r="E24" i="9"/>
  <c r="E24" i="5"/>
  <c r="E31" i="52"/>
  <c r="E31" i="50"/>
  <c r="E31" i="48"/>
  <c r="E31" i="46"/>
  <c r="E31" i="7"/>
  <c r="E31" i="118"/>
  <c r="E31" i="117"/>
  <c r="E31" i="4"/>
  <c r="E17" i="6" l="1"/>
  <c r="E17" i="3"/>
  <c r="E43" i="4" l="1"/>
  <c r="E41" i="4"/>
  <c r="E39" i="4"/>
  <c r="E43" i="117"/>
  <c r="E41" i="117"/>
  <c r="E39" i="117"/>
  <c r="E43" i="118"/>
  <c r="E41" i="118"/>
  <c r="E39" i="118"/>
  <c r="E43" i="7"/>
  <c r="E41" i="7"/>
  <c r="E39" i="7"/>
  <c r="E43" i="46"/>
  <c r="E41" i="46"/>
  <c r="E39" i="46"/>
  <c r="E43" i="48"/>
  <c r="E41" i="48"/>
  <c r="E39" i="48"/>
  <c r="E43" i="50"/>
  <c r="E41" i="50"/>
  <c r="E39" i="50"/>
  <c r="E43" i="52"/>
  <c r="E41" i="52"/>
  <c r="E39" i="52"/>
  <c r="E43" i="3"/>
  <c r="E41" i="3"/>
  <c r="E39" i="3"/>
  <c r="E43" i="6"/>
  <c r="E41" i="6"/>
  <c r="E39" i="6"/>
  <c r="E43" i="45"/>
  <c r="E41" i="45"/>
  <c r="E39" i="45"/>
  <c r="E43" i="47"/>
  <c r="E41" i="47"/>
  <c r="E39" i="47"/>
  <c r="E43" i="49"/>
  <c r="E41" i="49"/>
  <c r="E39" i="49"/>
  <c r="E43" i="51"/>
  <c r="E41" i="51"/>
  <c r="E39" i="51"/>
  <c r="H30" i="3" l="1"/>
  <c r="H28" i="3"/>
  <c r="H28" i="5"/>
  <c r="H28" i="11"/>
  <c r="H30" i="6"/>
  <c r="H28" i="6"/>
  <c r="H28" i="9"/>
  <c r="H30" i="45"/>
  <c r="H28" i="45"/>
  <c r="H28" i="53"/>
  <c r="H30" i="47"/>
  <c r="H28" i="47"/>
  <c r="H28" i="55"/>
  <c r="H28" i="57"/>
  <c r="H30" i="49"/>
  <c r="H28" i="49"/>
  <c r="H30" i="51"/>
  <c r="H28" i="51"/>
  <c r="H28" i="59"/>
  <c r="H28" i="4"/>
  <c r="H28" i="8"/>
  <c r="H29" i="14"/>
  <c r="H28" i="14"/>
  <c r="H28" i="117"/>
  <c r="H28" i="119"/>
  <c r="H28" i="118"/>
  <c r="H28" i="120"/>
  <c r="H28" i="7"/>
  <c r="H28" i="10"/>
  <c r="H28" i="46"/>
  <c r="H28" i="54"/>
  <c r="H28" i="48"/>
  <c r="H28" i="56"/>
  <c r="H28" i="50"/>
  <c r="H28" i="58"/>
  <c r="H28" i="52"/>
  <c r="H28" i="60"/>
  <c r="G31" i="3"/>
  <c r="H31" i="3" s="1"/>
  <c r="G31" i="5"/>
  <c r="H31" i="5" s="1"/>
  <c r="G31" i="11"/>
  <c r="H31" i="11" s="1"/>
  <c r="G31" i="6"/>
  <c r="H31" i="6" s="1"/>
  <c r="G31" i="9"/>
  <c r="H31" i="9" s="1"/>
  <c r="G31" i="45"/>
  <c r="H31" i="45" s="1"/>
  <c r="G31" i="53"/>
  <c r="H31" i="53" s="1"/>
  <c r="G31" i="47"/>
  <c r="H31" i="47" s="1"/>
  <c r="G31" i="55"/>
  <c r="H31" i="55" s="1"/>
  <c r="G31" i="57"/>
  <c r="H31" i="57" s="1"/>
  <c r="G31" i="49"/>
  <c r="H31" i="49" s="1"/>
  <c r="G31" i="51"/>
  <c r="H31" i="51" s="1"/>
  <c r="G31" i="59"/>
  <c r="H31" i="59" s="1"/>
  <c r="G31" i="4"/>
  <c r="H31" i="4" s="1"/>
  <c r="G31" i="8"/>
  <c r="H31" i="8" s="1"/>
  <c r="G31" i="14"/>
  <c r="H31" i="14" s="1"/>
  <c r="G31" i="117"/>
  <c r="H31" i="117" s="1"/>
  <c r="G31" i="119"/>
  <c r="H31" i="119" s="1"/>
  <c r="G31" i="118"/>
  <c r="H31" i="118" s="1"/>
  <c r="G31" i="120"/>
  <c r="H31" i="120" s="1"/>
  <c r="G31" i="7"/>
  <c r="H31" i="7" s="1"/>
  <c r="G31" i="10"/>
  <c r="H31" i="10" s="1"/>
  <c r="G31" i="46"/>
  <c r="H31" i="46" s="1"/>
  <c r="G31" i="54"/>
  <c r="H31" i="54" s="1"/>
  <c r="G31" i="48"/>
  <c r="H31" i="48" s="1"/>
  <c r="G31" i="56"/>
  <c r="H31" i="56" s="1"/>
  <c r="G31" i="50"/>
  <c r="H31" i="50" s="1"/>
  <c r="G31" i="58"/>
  <c r="H31" i="58" s="1"/>
  <c r="G31" i="52"/>
  <c r="H31" i="52" s="1"/>
  <c r="G31" i="60"/>
  <c r="H31" i="60" s="1"/>
  <c r="E45" i="5"/>
  <c r="E45" i="11"/>
  <c r="E45" i="9"/>
  <c r="E45" i="12"/>
  <c r="E45" i="53"/>
  <c r="E45" i="62"/>
  <c r="E45" i="55"/>
  <c r="E45" i="64"/>
  <c r="E45" i="57"/>
  <c r="E45" i="13"/>
  <c r="E45" i="59"/>
  <c r="E45" i="66"/>
  <c r="E45" i="8"/>
  <c r="E45" i="14"/>
  <c r="E45" i="119"/>
  <c r="E45" i="121"/>
  <c r="E45" i="120"/>
  <c r="E45" i="10"/>
  <c r="E45" i="15"/>
  <c r="E45" i="54"/>
  <c r="E45" i="63"/>
  <c r="E45" i="56"/>
  <c r="E45" i="65"/>
  <c r="E45" i="58"/>
  <c r="E45" i="16"/>
  <c r="E45" i="60"/>
  <c r="E45" i="67"/>
  <c r="H32" i="54" l="1"/>
  <c r="H33" i="54"/>
  <c r="G34" i="54"/>
  <c r="H34" i="54" s="1"/>
  <c r="H18" i="67"/>
  <c r="H18" i="60"/>
  <c r="H18" i="16"/>
  <c r="H18" i="58"/>
  <c r="H18" i="65"/>
  <c r="H18" i="56"/>
  <c r="H18" i="63"/>
  <c r="H18" i="54"/>
  <c r="H18" i="15"/>
  <c r="H18" i="10"/>
  <c r="H18" i="120"/>
  <c r="H18" i="121"/>
  <c r="H18" i="119"/>
  <c r="H18" i="14"/>
  <c r="H18" i="8"/>
  <c r="I39" i="4" l="1"/>
  <c r="I39" i="117"/>
  <c r="I39" i="118"/>
  <c r="I39" i="6"/>
  <c r="I39" i="7"/>
  <c r="I39" i="45"/>
  <c r="I39" i="46"/>
  <c r="I39" i="47"/>
  <c r="I39" i="48"/>
  <c r="I39" i="49"/>
  <c r="I39" i="50"/>
  <c r="I39" i="51"/>
  <c r="I39" i="52"/>
  <c r="I39" i="5"/>
  <c r="I39" i="8"/>
  <c r="I39" i="119"/>
  <c r="I39" i="120"/>
  <c r="I39" i="9"/>
  <c r="I39" i="10"/>
  <c r="I39" i="53"/>
  <c r="I39" i="54"/>
  <c r="I39" i="55"/>
  <c r="I39" i="56"/>
  <c r="I39" i="57"/>
  <c r="I39" i="58"/>
  <c r="I39" i="59"/>
  <c r="I39" i="60"/>
  <c r="I40" i="11"/>
  <c r="I39" i="14"/>
  <c r="I39" i="121"/>
  <c r="I40" i="12"/>
  <c r="I39" i="15"/>
  <c r="I40" i="62"/>
  <c r="I39" i="63"/>
  <c r="I40" i="64"/>
  <c r="I39" i="65"/>
  <c r="I39" i="13"/>
  <c r="I39" i="16"/>
  <c r="I39" i="66"/>
  <c r="I39" i="67"/>
  <c r="I34" i="30"/>
  <c r="I34" i="32"/>
  <c r="I34" i="31"/>
  <c r="I34" i="33"/>
  <c r="I34" i="93"/>
  <c r="I34" i="94"/>
  <c r="I34" i="95"/>
  <c r="I34" i="96"/>
  <c r="I34" i="97"/>
  <c r="I34" i="98"/>
  <c r="I34" i="99"/>
  <c r="I34" i="100"/>
  <c r="I34" i="34"/>
  <c r="I34" i="36"/>
  <c r="I34" i="35"/>
  <c r="I34" i="37"/>
  <c r="I34" i="101"/>
  <c r="I34" i="102"/>
  <c r="I34" i="104"/>
  <c r="I34" i="103"/>
  <c r="I34" i="105"/>
  <c r="I34" i="106"/>
  <c r="I34" i="107"/>
  <c r="I34" i="108"/>
  <c r="I34" i="38"/>
  <c r="I34" i="40"/>
  <c r="I34" i="39"/>
  <c r="I34" i="41"/>
  <c r="I34" i="109"/>
  <c r="I34" i="110"/>
  <c r="I34" i="111"/>
  <c r="I34" i="112"/>
  <c r="I34" i="113"/>
  <c r="I34" i="114"/>
  <c r="I34" i="115"/>
  <c r="I34" i="116"/>
  <c r="I41" i="3"/>
  <c r="I43" i="3" s="1"/>
  <c r="I39" i="3"/>
  <c r="E43" i="5"/>
  <c r="E43" i="8"/>
  <c r="E43" i="119"/>
  <c r="E43" i="120"/>
  <c r="E43" i="9"/>
  <c r="E43" i="10"/>
  <c r="E43" i="53"/>
  <c r="E43" i="54"/>
  <c r="E43" i="55"/>
  <c r="E43" i="56"/>
  <c r="E43" i="57"/>
  <c r="E43" i="58"/>
  <c r="E43" i="59"/>
  <c r="E43" i="60"/>
  <c r="E46" i="11"/>
  <c r="E43" i="14"/>
  <c r="E43" i="121"/>
  <c r="E46" i="12"/>
  <c r="E43" i="15"/>
  <c r="E46" i="62"/>
  <c r="E43" i="63"/>
  <c r="E46" i="64"/>
  <c r="E43" i="65"/>
  <c r="E43" i="13"/>
  <c r="E43" i="16"/>
  <c r="E43" i="66"/>
  <c r="E43" i="67"/>
  <c r="E38" i="30"/>
  <c r="E38" i="32"/>
  <c r="E38" i="31"/>
  <c r="E38" i="33"/>
  <c r="E38" i="93"/>
  <c r="E38" i="94"/>
  <c r="E38" i="95"/>
  <c r="E38" i="96"/>
  <c r="E38" i="97"/>
  <c r="E38" i="98"/>
  <c r="E38" i="99"/>
  <c r="E38" i="100"/>
  <c r="E38" i="34"/>
  <c r="E38" i="36"/>
  <c r="E38" i="35"/>
  <c r="E38" i="37"/>
  <c r="E38" i="101"/>
  <c r="E38" i="102"/>
  <c r="E38" i="104"/>
  <c r="E38" i="103"/>
  <c r="E38" i="105"/>
  <c r="E38" i="106"/>
  <c r="E38" i="107"/>
  <c r="E38" i="108"/>
  <c r="E38" i="38"/>
  <c r="E38" i="40"/>
  <c r="E38" i="39"/>
  <c r="E38" i="41"/>
  <c r="E38" i="109"/>
  <c r="E38" i="110"/>
  <c r="E38" i="111"/>
  <c r="E38" i="112"/>
  <c r="E38" i="113"/>
  <c r="E38" i="114"/>
  <c r="E38" i="115"/>
  <c r="E38" i="116"/>
  <c r="E36" i="116"/>
  <c r="E36" i="115"/>
  <c r="E36" i="114"/>
  <c r="E36" i="113"/>
  <c r="E36" i="112"/>
  <c r="E36" i="111"/>
  <c r="E36" i="110"/>
  <c r="E36" i="109"/>
  <c r="E36" i="41"/>
  <c r="E36" i="39"/>
  <c r="E36" i="40"/>
  <c r="E36" i="38"/>
  <c r="E36" i="108"/>
  <c r="E36" i="107"/>
  <c r="E36" i="106"/>
  <c r="E36" i="105"/>
  <c r="E36" i="103"/>
  <c r="E36" i="104"/>
  <c r="E36" i="102"/>
  <c r="E36" i="101"/>
  <c r="E36" i="37"/>
  <c r="E36" i="35"/>
  <c r="E36" i="36"/>
  <c r="E36" i="34"/>
  <c r="E36" i="100"/>
  <c r="E36" i="99"/>
  <c r="E36" i="98"/>
  <c r="E36" i="97"/>
  <c r="E36" i="96"/>
  <c r="E36" i="95"/>
  <c r="E36" i="94"/>
  <c r="E36" i="93"/>
  <c r="E36" i="33"/>
  <c r="E36" i="31"/>
  <c r="E36" i="32"/>
  <c r="E36" i="30"/>
  <c r="E41" i="67"/>
  <c r="E41" i="66"/>
  <c r="E41" i="16"/>
  <c r="E41" i="13"/>
  <c r="E41" i="65"/>
  <c r="E42" i="64"/>
  <c r="E41" i="63"/>
  <c r="E42" i="62"/>
  <c r="E41" i="15"/>
  <c r="E42" i="12"/>
  <c r="E41" i="121"/>
  <c r="E41" i="14"/>
  <c r="E42" i="11"/>
  <c r="E41" i="60"/>
  <c r="E41" i="59"/>
  <c r="E41" i="58"/>
  <c r="E41" i="57"/>
  <c r="E41" i="56"/>
  <c r="E41" i="55"/>
  <c r="E41" i="54"/>
  <c r="E41" i="53"/>
  <c r="E41" i="10"/>
  <c r="E41" i="9"/>
  <c r="E41" i="120"/>
  <c r="E41" i="119"/>
  <c r="E41" i="8"/>
  <c r="E41" i="5"/>
  <c r="E39" i="5"/>
  <c r="E39" i="8"/>
  <c r="E39" i="119"/>
  <c r="E39" i="120"/>
  <c r="E39" i="9"/>
  <c r="E39" i="10"/>
  <c r="E39" i="53"/>
  <c r="E39" i="54"/>
  <c r="E39" i="55"/>
  <c r="E39" i="56"/>
  <c r="E39" i="57"/>
  <c r="E39" i="58"/>
  <c r="E39" i="59"/>
  <c r="E39" i="60"/>
  <c r="E40" i="11"/>
  <c r="E39" i="14"/>
  <c r="E39" i="121"/>
  <c r="E40" i="12"/>
  <c r="E39" i="15"/>
  <c r="E40" i="62"/>
  <c r="E39" i="63"/>
  <c r="E40" i="64"/>
  <c r="E39" i="65"/>
  <c r="E39" i="13"/>
  <c r="E39" i="16"/>
  <c r="E39" i="66"/>
  <c r="E39" i="67"/>
  <c r="E34" i="30"/>
  <c r="E34" i="32"/>
  <c r="E34" i="31"/>
  <c r="E34" i="33"/>
  <c r="E34" i="93"/>
  <c r="E34" i="94"/>
  <c r="E34" i="95"/>
  <c r="E34" i="96"/>
  <c r="E34" i="97"/>
  <c r="E34" i="98"/>
  <c r="E34" i="99"/>
  <c r="E34" i="100"/>
  <c r="E34" i="34"/>
  <c r="E34" i="36"/>
  <c r="E34" i="35"/>
  <c r="E34" i="37"/>
  <c r="E34" i="101"/>
  <c r="E34" i="102"/>
  <c r="E34" i="104"/>
  <c r="E34" i="103"/>
  <c r="E34" i="105"/>
  <c r="E34" i="106"/>
  <c r="E34" i="107"/>
  <c r="E34" i="108"/>
  <c r="E34" i="38"/>
  <c r="E34" i="40"/>
  <c r="E34" i="39"/>
  <c r="E34" i="41"/>
  <c r="E34" i="109"/>
  <c r="E34" i="110"/>
  <c r="E34" i="111"/>
  <c r="E34" i="112"/>
  <c r="E34" i="113"/>
  <c r="E34" i="114"/>
  <c r="E34" i="115"/>
  <c r="E34" i="116"/>
  <c r="G34" i="5"/>
  <c r="G34" i="8"/>
  <c r="G34" i="119"/>
  <c r="G34" i="120"/>
  <c r="G34" i="9"/>
  <c r="G34" i="10"/>
  <c r="G34" i="53"/>
  <c r="G34" i="55"/>
  <c r="G34" i="56"/>
  <c r="G34" i="57"/>
  <c r="G34" i="58"/>
  <c r="G34" i="59"/>
  <c r="G34" i="60"/>
  <c r="G29" i="30"/>
  <c r="G29" i="32"/>
  <c r="G29" i="31"/>
  <c r="G29" i="33"/>
  <c r="G29" i="93"/>
  <c r="G29" i="94"/>
  <c r="G29" i="95"/>
  <c r="G29" i="96"/>
  <c r="G29" i="97"/>
  <c r="G29" i="98"/>
  <c r="G29" i="99"/>
  <c r="G29" i="100"/>
  <c r="G29" i="34"/>
  <c r="G29" i="36"/>
  <c r="G29" i="35"/>
  <c r="G29" i="37"/>
  <c r="G29" i="101"/>
  <c r="G29" i="102"/>
  <c r="G29" i="104"/>
  <c r="G29" i="103"/>
  <c r="G29" i="105"/>
  <c r="G29" i="106"/>
  <c r="G29" i="107"/>
  <c r="G29" i="108"/>
  <c r="G29" i="38"/>
  <c r="G29" i="40"/>
  <c r="G29" i="39"/>
  <c r="G29" i="41"/>
  <c r="G29" i="109"/>
  <c r="G29" i="110"/>
  <c r="G29" i="111"/>
  <c r="G29" i="112"/>
  <c r="G29" i="113"/>
  <c r="G29" i="114"/>
  <c r="G29" i="115"/>
  <c r="G29" i="116"/>
  <c r="G24" i="4"/>
  <c r="G24" i="117"/>
  <c r="G24" i="118"/>
  <c r="G24" i="6"/>
  <c r="G24" i="7"/>
  <c r="G24" i="45"/>
  <c r="G24" i="46"/>
  <c r="G24" i="47"/>
  <c r="G24" i="48"/>
  <c r="G24" i="49"/>
  <c r="G24" i="50"/>
  <c r="G24" i="51"/>
  <c r="G24" i="52"/>
  <c r="G24" i="5"/>
  <c r="G24" i="8"/>
  <c r="G24" i="119"/>
  <c r="G24" i="120"/>
  <c r="G24" i="9"/>
  <c r="G24" i="10"/>
  <c r="G24" i="53"/>
  <c r="G24" i="54"/>
  <c r="G24" i="55"/>
  <c r="G24" i="56"/>
  <c r="G24" i="57"/>
  <c r="G24" i="58"/>
  <c r="G24" i="59"/>
  <c r="G24" i="60"/>
  <c r="G24" i="11"/>
  <c r="G24" i="14"/>
  <c r="G24" i="30"/>
  <c r="G24" i="32"/>
  <c r="G24" i="31"/>
  <c r="G24" i="33"/>
  <c r="G24" i="93"/>
  <c r="G24" i="94"/>
  <c r="G24" i="95"/>
  <c r="G24" i="96"/>
  <c r="G24" i="97"/>
  <c r="G24" i="98"/>
  <c r="G24" i="99"/>
  <c r="G24" i="100"/>
  <c r="G24" i="34"/>
  <c r="G24" i="36"/>
  <c r="G24" i="35"/>
  <c r="G24" i="37"/>
  <c r="G24" i="101"/>
  <c r="G24" i="102"/>
  <c r="G24" i="104"/>
  <c r="G24" i="103"/>
  <c r="G24" i="105"/>
  <c r="G24" i="106"/>
  <c r="G24" i="107"/>
  <c r="G24" i="108"/>
  <c r="G24" i="38"/>
  <c r="G24" i="40"/>
  <c r="G24" i="39"/>
  <c r="G24" i="41"/>
  <c r="G24" i="109"/>
  <c r="G24" i="110"/>
  <c r="G24" i="111"/>
  <c r="G24" i="112"/>
  <c r="G24" i="113"/>
  <c r="G24" i="114"/>
  <c r="G24" i="115"/>
  <c r="G24" i="116"/>
  <c r="G17" i="6"/>
  <c r="G17" i="45"/>
  <c r="G17" i="47"/>
  <c r="G17" i="49"/>
  <c r="G17" i="51"/>
  <c r="G17" i="5"/>
  <c r="G17" i="9"/>
  <c r="G17" i="53"/>
  <c r="G17" i="55"/>
  <c r="G17" i="57"/>
  <c r="G17" i="59"/>
  <c r="G17" i="11"/>
  <c r="G17" i="12"/>
  <c r="G17" i="62"/>
  <c r="G17" i="64"/>
  <c r="G17" i="13"/>
  <c r="G17" i="66"/>
  <c r="G17" i="30"/>
  <c r="G17" i="32"/>
  <c r="G17" i="31"/>
  <c r="G17" i="33"/>
  <c r="G17" i="93"/>
  <c r="G17" i="94"/>
  <c r="G17" i="95"/>
  <c r="G17" i="96"/>
  <c r="G17" i="97"/>
  <c r="G17" i="98"/>
  <c r="G17" i="99"/>
  <c r="G17" i="100"/>
  <c r="G17" i="34"/>
  <c r="G17" i="36"/>
  <c r="G17" i="35"/>
  <c r="G17" i="37"/>
  <c r="G17" i="101"/>
  <c r="G17" i="102"/>
  <c r="G17" i="104"/>
  <c r="G17" i="103"/>
  <c r="G17" i="105"/>
  <c r="G17" i="106"/>
  <c r="G17" i="107"/>
  <c r="G17" i="108"/>
  <c r="G17" i="38"/>
  <c r="G17" i="40"/>
  <c r="G17" i="39"/>
  <c r="G17" i="41"/>
  <c r="G17" i="109"/>
  <c r="G17" i="110"/>
  <c r="G17" i="111"/>
  <c r="G17" i="112"/>
  <c r="G17" i="113"/>
  <c r="G17" i="114"/>
  <c r="G17" i="115"/>
  <c r="G17" i="116"/>
  <c r="G17" i="3"/>
  <c r="G8" i="5"/>
  <c r="G8" i="8"/>
  <c r="G8" i="119"/>
  <c r="G8" i="120"/>
  <c r="G8" i="9"/>
  <c r="G8" i="10"/>
  <c r="G8" i="53"/>
  <c r="G8" i="54"/>
  <c r="G8" i="55"/>
  <c r="G8" i="56"/>
  <c r="G8" i="57"/>
  <c r="G8" i="58"/>
  <c r="G8" i="59"/>
  <c r="G8" i="60"/>
  <c r="G8" i="11"/>
  <c r="G8" i="14"/>
  <c r="G8" i="121"/>
  <c r="G8" i="12"/>
  <c r="G8" i="15"/>
  <c r="G8" i="62"/>
  <c r="G8" i="63"/>
  <c r="G8" i="64"/>
  <c r="G8" i="65"/>
  <c r="G8" i="13"/>
  <c r="G8" i="16"/>
  <c r="G8" i="66"/>
  <c r="G8" i="67"/>
  <c r="G8" i="30"/>
  <c r="G8" i="32"/>
  <c r="G8" i="31"/>
  <c r="G8" i="33"/>
  <c r="G8" i="93"/>
  <c r="G8" i="94"/>
  <c r="G8" i="95"/>
  <c r="G8" i="96"/>
  <c r="G8" i="97"/>
  <c r="G8" i="98"/>
  <c r="G8" i="99"/>
  <c r="G8" i="100"/>
  <c r="G8" i="34"/>
  <c r="G8" i="36"/>
  <c r="G8" i="35"/>
  <c r="G8" i="37"/>
  <c r="G8" i="101"/>
  <c r="G8" i="102"/>
  <c r="G8" i="104"/>
  <c r="G8" i="103"/>
  <c r="G8" i="105"/>
  <c r="G8" i="106"/>
  <c r="G8" i="107"/>
  <c r="G8" i="108"/>
  <c r="G8" i="38"/>
  <c r="G8" i="40"/>
  <c r="G8" i="39"/>
  <c r="G8" i="41"/>
  <c r="G8" i="109"/>
  <c r="G8" i="110"/>
  <c r="G8" i="111"/>
  <c r="G8" i="112"/>
  <c r="G8" i="113"/>
  <c r="G8" i="114"/>
  <c r="G8" i="115"/>
  <c r="G8" i="116"/>
  <c r="O1" i="4"/>
  <c r="O1" i="117"/>
  <c r="O1" i="118"/>
  <c r="O1" i="6"/>
  <c r="O1" i="7"/>
  <c r="O1" i="45"/>
  <c r="O1" i="46"/>
  <c r="O1" i="47"/>
  <c r="O1" i="48"/>
  <c r="O1" i="49"/>
  <c r="O1" i="50"/>
  <c r="O1" i="51"/>
  <c r="O1" i="52"/>
  <c r="O1" i="5"/>
  <c r="O1" i="8"/>
  <c r="O1" i="119"/>
  <c r="O1" i="120"/>
  <c r="O1" i="9"/>
  <c r="O1" i="10"/>
  <c r="O1" i="53"/>
  <c r="O1" i="54"/>
  <c r="O1" i="55"/>
  <c r="O1" i="56"/>
  <c r="O1" i="57"/>
  <c r="O1" i="58"/>
  <c r="O1" i="59"/>
  <c r="O1" i="60"/>
  <c r="O1" i="11"/>
  <c r="O1" i="14"/>
  <c r="O1" i="121"/>
  <c r="O1" i="12"/>
  <c r="O1" i="15"/>
  <c r="O1" i="62"/>
  <c r="O1" i="63"/>
  <c r="O1" i="64"/>
  <c r="O1" i="65"/>
  <c r="O1" i="13"/>
  <c r="O1" i="16"/>
  <c r="O1" i="66"/>
  <c r="O1" i="67"/>
  <c r="O1" i="30"/>
  <c r="O1" i="32"/>
  <c r="O1" i="31"/>
  <c r="O1" i="33"/>
  <c r="O1" i="93"/>
  <c r="O1" i="94"/>
  <c r="O1" i="95"/>
  <c r="O1" i="96"/>
  <c r="O1" i="97"/>
  <c r="O1" i="98"/>
  <c r="O1" i="99"/>
  <c r="O1" i="100"/>
  <c r="O1" i="34"/>
  <c r="O1" i="36"/>
  <c r="O1" i="35"/>
  <c r="O1" i="37"/>
  <c r="O1" i="101"/>
  <c r="O1" i="102"/>
  <c r="O1" i="104"/>
  <c r="O1" i="103"/>
  <c r="O1" i="105"/>
  <c r="O1" i="106"/>
  <c r="O1" i="107"/>
  <c r="O1" i="108"/>
  <c r="O1" i="38"/>
  <c r="O1" i="40"/>
  <c r="O1" i="39"/>
  <c r="O1" i="41"/>
  <c r="O1" i="109"/>
  <c r="O1" i="110"/>
  <c r="O1" i="111"/>
  <c r="O1" i="112"/>
  <c r="O1" i="113"/>
  <c r="O1" i="114"/>
  <c r="O1" i="115"/>
  <c r="O1" i="116"/>
  <c r="O1" i="3"/>
  <c r="D14" i="129"/>
  <c r="J10" i="129"/>
  <c r="K13" i="129"/>
  <c r="J7" i="129"/>
  <c r="D11" i="129"/>
  <c r="E15" i="129"/>
  <c r="J13" i="129"/>
  <c r="K45" i="129"/>
  <c r="F13" i="129"/>
  <c r="F6" i="129"/>
  <c r="K15" i="129"/>
  <c r="E29" i="129"/>
  <c r="F33" i="129"/>
  <c r="J34" i="129"/>
  <c r="K20" i="129"/>
  <c r="F26" i="129"/>
  <c r="J38" i="129"/>
  <c r="E19" i="129"/>
  <c r="F8" i="129"/>
  <c r="E39" i="129"/>
  <c r="K9" i="129"/>
  <c r="E41" i="129"/>
  <c r="K8" i="129"/>
  <c r="J29" i="129"/>
  <c r="D31" i="129"/>
  <c r="K23" i="129"/>
  <c r="J28" i="129"/>
  <c r="D9" i="129"/>
  <c r="K25" i="129"/>
  <c r="K4" i="129"/>
  <c r="F29" i="129"/>
  <c r="J36" i="129"/>
  <c r="J43" i="129"/>
  <c r="D24" i="129"/>
  <c r="K35" i="129"/>
  <c r="K11" i="129"/>
  <c r="E21" i="129"/>
  <c r="K3" i="129"/>
  <c r="D40" i="129"/>
  <c r="D19" i="129"/>
  <c r="K21" i="129"/>
  <c r="J15" i="129"/>
  <c r="F36" i="129"/>
  <c r="J14" i="129"/>
  <c r="E34" i="129"/>
  <c r="J9" i="129"/>
  <c r="F11" i="129"/>
  <c r="K30" i="129"/>
  <c r="D22" i="129"/>
  <c r="K19" i="129"/>
  <c r="E10" i="129"/>
  <c r="D30" i="129"/>
  <c r="J25" i="129"/>
  <c r="E24" i="129"/>
  <c r="J41" i="129"/>
  <c r="J19" i="129"/>
  <c r="K43" i="129"/>
  <c r="E7" i="129"/>
  <c r="E43" i="129"/>
  <c r="K37" i="129"/>
  <c r="D23" i="129"/>
  <c r="E40" i="129"/>
  <c r="E14" i="129"/>
  <c r="F10" i="129"/>
  <c r="F12" i="129"/>
  <c r="F41" i="129"/>
  <c r="J21" i="129"/>
  <c r="F30" i="129"/>
  <c r="E25" i="129"/>
  <c r="D7" i="129"/>
  <c r="D44" i="129"/>
  <c r="J30" i="129"/>
  <c r="F35" i="129"/>
  <c r="K44" i="129"/>
  <c r="D35" i="129"/>
  <c r="J11" i="129"/>
  <c r="D38" i="129"/>
  <c r="D36" i="129"/>
  <c r="D27" i="129"/>
  <c r="E44" i="129"/>
  <c r="F38" i="129"/>
  <c r="D39" i="129"/>
  <c r="F20" i="129"/>
  <c r="E8" i="129"/>
  <c r="D42" i="129"/>
  <c r="J5" i="129"/>
  <c r="D16" i="129"/>
  <c r="E26" i="129"/>
  <c r="F45" i="129"/>
  <c r="F23" i="129"/>
  <c r="J26" i="129"/>
  <c r="F9" i="129"/>
  <c r="F22" i="129"/>
  <c r="D33" i="129"/>
  <c r="F4" i="129"/>
  <c r="J31" i="129"/>
  <c r="D8" i="129"/>
  <c r="J40" i="129"/>
  <c r="K18" i="129"/>
  <c r="K40" i="129"/>
  <c r="K34" i="129"/>
  <c r="K12" i="129"/>
  <c r="K42" i="129"/>
  <c r="D29" i="129"/>
  <c r="D45" i="129"/>
  <c r="K33" i="129"/>
  <c r="D20" i="129"/>
  <c r="D26" i="129"/>
  <c r="J33" i="129"/>
  <c r="F39" i="129"/>
  <c r="D37" i="129"/>
  <c r="J45" i="129"/>
  <c r="J4" i="129"/>
  <c r="D28" i="129"/>
  <c r="E16" i="129"/>
  <c r="E31" i="129"/>
  <c r="D41" i="129"/>
  <c r="F15" i="129"/>
  <c r="E22" i="129"/>
  <c r="E28" i="129"/>
  <c r="E38" i="129"/>
  <c r="F7" i="129"/>
  <c r="K7" i="129"/>
  <c r="D10" i="129"/>
  <c r="E20" i="129"/>
  <c r="K39" i="129"/>
  <c r="F40" i="129"/>
  <c r="F25" i="129"/>
  <c r="F18" i="129"/>
  <c r="F27" i="129"/>
  <c r="J18" i="129"/>
  <c r="D21" i="129"/>
  <c r="E27" i="129"/>
  <c r="E12" i="129"/>
  <c r="F5" i="129"/>
  <c r="F28" i="129"/>
  <c r="K24" i="129"/>
  <c r="J12" i="129"/>
  <c r="J44" i="129"/>
  <c r="K27" i="129"/>
  <c r="F42" i="129"/>
  <c r="D12" i="129"/>
  <c r="F43" i="129"/>
  <c r="E18" i="129"/>
  <c r="K22" i="129"/>
  <c r="J16" i="129"/>
  <c r="J8" i="129"/>
  <c r="K36" i="129"/>
  <c r="J22" i="129"/>
  <c r="F44" i="129"/>
  <c r="K16" i="129"/>
  <c r="D13" i="129"/>
  <c r="K10" i="129"/>
  <c r="J23" i="129"/>
  <c r="F37" i="129"/>
  <c r="K26" i="129"/>
  <c r="J37" i="129"/>
  <c r="K14" i="129"/>
  <c r="K28" i="129"/>
  <c r="K29" i="129"/>
  <c r="F24" i="129"/>
  <c r="D34" i="129"/>
  <c r="J20" i="129"/>
  <c r="E42" i="129"/>
  <c r="K31" i="129"/>
  <c r="J3" i="129"/>
  <c r="F16" i="129"/>
  <c r="F19" i="129"/>
  <c r="J24" i="129"/>
  <c r="D25" i="129"/>
  <c r="J27" i="129"/>
  <c r="E36" i="129"/>
  <c r="K6" i="129"/>
  <c r="E37" i="129"/>
  <c r="E35" i="129"/>
  <c r="E13" i="129"/>
  <c r="F14" i="129"/>
  <c r="E45" i="129"/>
  <c r="J35" i="129"/>
  <c r="F21" i="129"/>
  <c r="D43" i="129"/>
  <c r="E9" i="129"/>
  <c r="J39" i="129"/>
  <c r="E11" i="129"/>
  <c r="K38" i="129"/>
  <c r="E33" i="129"/>
  <c r="F31" i="129"/>
  <c r="F34" i="129"/>
  <c r="E30" i="129"/>
  <c r="D15" i="129"/>
  <c r="E23" i="129"/>
  <c r="K5" i="129"/>
  <c r="J6" i="129"/>
  <c r="J42" i="129"/>
  <c r="D18" i="129"/>
  <c r="K41" i="129"/>
  <c r="H32" i="4" l="1"/>
  <c r="H26" i="4"/>
  <c r="H32" i="117"/>
  <c r="H26" i="117"/>
  <c r="H32" i="118"/>
  <c r="H26" i="118"/>
  <c r="H32" i="6"/>
  <c r="H26" i="6"/>
  <c r="H32" i="7"/>
  <c r="H26" i="7"/>
  <c r="H32" i="45"/>
  <c r="H26" i="45"/>
  <c r="H32" i="46"/>
  <c r="H26" i="46"/>
  <c r="H32" i="47"/>
  <c r="H26" i="47"/>
  <c r="H32" i="48"/>
  <c r="H26" i="48"/>
  <c r="H32" i="49"/>
  <c r="H26" i="49"/>
  <c r="H32" i="50"/>
  <c r="H26" i="50"/>
  <c r="H32" i="51"/>
  <c r="H26" i="51"/>
  <c r="H32" i="52"/>
  <c r="H26" i="52"/>
  <c r="H32" i="5"/>
  <c r="H26" i="5"/>
  <c r="H32" i="8"/>
  <c r="H26" i="8"/>
  <c r="H32" i="119"/>
  <c r="H26" i="119"/>
  <c r="H32" i="120"/>
  <c r="H26" i="120"/>
  <c r="H32" i="9"/>
  <c r="H26" i="9"/>
  <c r="H32" i="10"/>
  <c r="H26" i="10"/>
  <c r="H32" i="53"/>
  <c r="H26" i="53"/>
  <c r="H26" i="54"/>
  <c r="H32" i="55"/>
  <c r="H26" i="55"/>
  <c r="H32" i="56"/>
  <c r="H26" i="56"/>
  <c r="H32" i="57"/>
  <c r="H26" i="57"/>
  <c r="H32" i="58"/>
  <c r="H26" i="58"/>
  <c r="H32" i="59"/>
  <c r="H26" i="59"/>
  <c r="H32" i="60"/>
  <c r="H26" i="60"/>
  <c r="H32" i="11"/>
  <c r="H26" i="14"/>
  <c r="H27" i="30"/>
  <c r="H26" i="30"/>
  <c r="H27" i="32"/>
  <c r="H26" i="32"/>
  <c r="H27" i="31"/>
  <c r="H26" i="31"/>
  <c r="H27" i="33"/>
  <c r="H26" i="33"/>
  <c r="H27" i="93"/>
  <c r="H26" i="93"/>
  <c r="H27" i="94"/>
  <c r="H26" i="94"/>
  <c r="H27" i="95"/>
  <c r="H26" i="95"/>
  <c r="H27" i="96"/>
  <c r="H26" i="96"/>
  <c r="H27" i="97"/>
  <c r="H26" i="97"/>
  <c r="H27" i="98"/>
  <c r="H26" i="98"/>
  <c r="H27" i="99"/>
  <c r="H26" i="99"/>
  <c r="H27" i="100"/>
  <c r="H26" i="100"/>
  <c r="H27" i="34"/>
  <c r="H26" i="34"/>
  <c r="H27" i="36"/>
  <c r="H26" i="36"/>
  <c r="H27" i="35"/>
  <c r="H26" i="35"/>
  <c r="H27" i="37"/>
  <c r="H26" i="37"/>
  <c r="H27" i="101"/>
  <c r="H26" i="101"/>
  <c r="H27" i="102"/>
  <c r="H26" i="102"/>
  <c r="H27" i="104"/>
  <c r="H26" i="104"/>
  <c r="H27" i="103"/>
  <c r="H26" i="103"/>
  <c r="H27" i="105"/>
  <c r="H26" i="105"/>
  <c r="H27" i="106"/>
  <c r="H26" i="106"/>
  <c r="H27" i="107"/>
  <c r="H26" i="107"/>
  <c r="H27" i="108"/>
  <c r="H26" i="108"/>
  <c r="H27" i="38"/>
  <c r="H26" i="38"/>
  <c r="H27" i="40"/>
  <c r="H26" i="40"/>
  <c r="H27" i="39"/>
  <c r="H26" i="39"/>
  <c r="H27" i="41"/>
  <c r="H26" i="41"/>
  <c r="H27" i="109"/>
  <c r="H26" i="109"/>
  <c r="H27" i="110"/>
  <c r="H26" i="110"/>
  <c r="H27" i="111"/>
  <c r="H26" i="111"/>
  <c r="H27" i="112"/>
  <c r="H26" i="112"/>
  <c r="H27" i="113"/>
  <c r="H26" i="113"/>
  <c r="H27" i="114"/>
  <c r="H26" i="114"/>
  <c r="H27" i="115"/>
  <c r="H26" i="115"/>
  <c r="H27" i="116"/>
  <c r="H26" i="116"/>
  <c r="H32" i="3"/>
  <c r="H26" i="3"/>
  <c r="D6" i="129"/>
  <c r="D5" i="129"/>
  <c r="E4" i="129"/>
  <c r="E3" i="129"/>
  <c r="E5" i="129"/>
  <c r="D3" i="129"/>
  <c r="E6" i="129"/>
  <c r="D4" i="129"/>
  <c r="F3" i="129"/>
  <c r="H38" i="121" l="1"/>
  <c r="H12" i="121"/>
  <c r="H11" i="121"/>
  <c r="H9" i="121"/>
  <c r="H8" i="121"/>
  <c r="H35" i="121" l="1"/>
  <c r="H10" i="121"/>
  <c r="H38" i="120"/>
  <c r="H34" i="120"/>
  <c r="H33" i="120"/>
  <c r="H24" i="120"/>
  <c r="H23" i="120"/>
  <c r="H22" i="120"/>
  <c r="H21" i="120"/>
  <c r="H20" i="120"/>
  <c r="H19" i="120"/>
  <c r="H12" i="120"/>
  <c r="H11" i="120"/>
  <c r="H9" i="120"/>
  <c r="H8" i="120"/>
  <c r="H38" i="119"/>
  <c r="H34" i="119"/>
  <c r="H33" i="119"/>
  <c r="H24" i="119"/>
  <c r="H23" i="119"/>
  <c r="H22" i="119"/>
  <c r="H21" i="119"/>
  <c r="H20" i="119"/>
  <c r="H19" i="119"/>
  <c r="H12" i="119"/>
  <c r="H11" i="119"/>
  <c r="H9" i="119"/>
  <c r="H8" i="119"/>
  <c r="H38" i="118"/>
  <c r="H24" i="118"/>
  <c r="H23" i="118"/>
  <c r="H22" i="118"/>
  <c r="H21" i="118"/>
  <c r="H20" i="118"/>
  <c r="H19" i="118"/>
  <c r="H18" i="118"/>
  <c r="H12" i="118"/>
  <c r="H11" i="118"/>
  <c r="H38" i="117"/>
  <c r="H24" i="117"/>
  <c r="H23" i="117"/>
  <c r="H22" i="117"/>
  <c r="H21" i="117"/>
  <c r="H20" i="117"/>
  <c r="H19" i="117"/>
  <c r="H18" i="117"/>
  <c r="H12" i="117"/>
  <c r="H11" i="117"/>
  <c r="H33" i="116"/>
  <c r="H29" i="116"/>
  <c r="H28" i="116"/>
  <c r="H24" i="116"/>
  <c r="H23" i="116"/>
  <c r="H22" i="116"/>
  <c r="H21" i="116"/>
  <c r="H20" i="116"/>
  <c r="H19" i="116"/>
  <c r="H18" i="116"/>
  <c r="H17" i="116"/>
  <c r="H16" i="116"/>
  <c r="H15" i="116"/>
  <c r="H14" i="116"/>
  <c r="H13" i="116"/>
  <c r="H12" i="116"/>
  <c r="H11" i="116"/>
  <c r="H9" i="116"/>
  <c r="H8" i="116"/>
  <c r="H41" i="116" s="1"/>
  <c r="H33" i="115"/>
  <c r="H29" i="115"/>
  <c r="H28" i="115"/>
  <c r="H24" i="115"/>
  <c r="H23" i="115"/>
  <c r="H22" i="115"/>
  <c r="H21" i="115"/>
  <c r="H20" i="115"/>
  <c r="H19" i="115"/>
  <c r="H18" i="115"/>
  <c r="H17" i="115"/>
  <c r="H16" i="115"/>
  <c r="H15" i="115"/>
  <c r="H14" i="115"/>
  <c r="H13" i="115"/>
  <c r="H12" i="115"/>
  <c r="H11" i="115"/>
  <c r="H9" i="115"/>
  <c r="H8" i="115"/>
  <c r="H41" i="115" s="1"/>
  <c r="H33" i="114"/>
  <c r="H29" i="114"/>
  <c r="H28" i="114"/>
  <c r="H24" i="114"/>
  <c r="H23" i="114"/>
  <c r="H22" i="114"/>
  <c r="H21" i="114"/>
  <c r="H20" i="114"/>
  <c r="H19" i="114"/>
  <c r="H18" i="114"/>
  <c r="H17" i="114"/>
  <c r="H16" i="114"/>
  <c r="H15" i="114"/>
  <c r="H14" i="114"/>
  <c r="H13" i="114"/>
  <c r="H12" i="114"/>
  <c r="H11" i="114"/>
  <c r="H9" i="114"/>
  <c r="H8" i="114"/>
  <c r="H41" i="114" s="1"/>
  <c r="H33" i="113"/>
  <c r="H29" i="113"/>
  <c r="H28" i="113"/>
  <c r="H24" i="113"/>
  <c r="H23" i="113"/>
  <c r="H22" i="113"/>
  <c r="H21" i="113"/>
  <c r="H20" i="113"/>
  <c r="H19" i="113"/>
  <c r="H18" i="113"/>
  <c r="H17" i="113"/>
  <c r="H16" i="113"/>
  <c r="H15" i="113"/>
  <c r="H14" i="113"/>
  <c r="H13" i="113"/>
  <c r="H12" i="113"/>
  <c r="H11" i="113"/>
  <c r="H9" i="113"/>
  <c r="H8" i="113"/>
  <c r="H41" i="113" s="1"/>
  <c r="H33" i="112"/>
  <c r="H29" i="112"/>
  <c r="H28" i="112"/>
  <c r="H24" i="112"/>
  <c r="H23" i="112"/>
  <c r="H22" i="112"/>
  <c r="H21" i="112"/>
  <c r="H20" i="112"/>
  <c r="H19" i="112"/>
  <c r="H18" i="112"/>
  <c r="H17" i="112"/>
  <c r="H16" i="112"/>
  <c r="H15" i="112"/>
  <c r="H14" i="112"/>
  <c r="H13" i="112"/>
  <c r="H12" i="112"/>
  <c r="H11" i="112"/>
  <c r="H9" i="112"/>
  <c r="H8" i="112"/>
  <c r="H41" i="112" s="1"/>
  <c r="H33" i="111"/>
  <c r="H29" i="111"/>
  <c r="H28" i="111"/>
  <c r="H24" i="111"/>
  <c r="H23" i="111"/>
  <c r="H22" i="111"/>
  <c r="H21" i="111"/>
  <c r="H20" i="111"/>
  <c r="H19" i="111"/>
  <c r="H18" i="111"/>
  <c r="H17" i="111"/>
  <c r="H16" i="111"/>
  <c r="H15" i="111"/>
  <c r="H14" i="111"/>
  <c r="H13" i="111"/>
  <c r="H12" i="111"/>
  <c r="H11" i="111"/>
  <c r="H9" i="111"/>
  <c r="H8" i="111"/>
  <c r="H41" i="111" s="1"/>
  <c r="H33" i="110"/>
  <c r="H29" i="110"/>
  <c r="H28" i="110"/>
  <c r="H24" i="110"/>
  <c r="H23" i="110"/>
  <c r="H22" i="110"/>
  <c r="H21" i="110"/>
  <c r="H20" i="110"/>
  <c r="H19" i="110"/>
  <c r="H18" i="110"/>
  <c r="H17" i="110"/>
  <c r="H16" i="110"/>
  <c r="H15" i="110"/>
  <c r="H14" i="110"/>
  <c r="H13" i="110"/>
  <c r="H12" i="110"/>
  <c r="H11" i="110"/>
  <c r="H9" i="110"/>
  <c r="H8" i="110"/>
  <c r="H41" i="110" s="1"/>
  <c r="H33" i="109"/>
  <c r="H29" i="109"/>
  <c r="H28" i="109"/>
  <c r="H24" i="109"/>
  <c r="H23" i="109"/>
  <c r="H22" i="109"/>
  <c r="H21" i="109"/>
  <c r="H20" i="109"/>
  <c r="H19" i="109"/>
  <c r="H18" i="109"/>
  <c r="H17" i="109"/>
  <c r="H16" i="109"/>
  <c r="H15" i="109"/>
  <c r="H14" i="109"/>
  <c r="H13" i="109"/>
  <c r="H12" i="109"/>
  <c r="H11" i="109"/>
  <c r="H9" i="109"/>
  <c r="H8" i="109"/>
  <c r="H41" i="109" s="1"/>
  <c r="H33" i="108"/>
  <c r="H29" i="108"/>
  <c r="H28" i="108"/>
  <c r="H24" i="108"/>
  <c r="H23" i="108"/>
  <c r="H22" i="108"/>
  <c r="H21" i="108"/>
  <c r="H20" i="108"/>
  <c r="H19" i="108"/>
  <c r="H18" i="108"/>
  <c r="H17" i="108"/>
  <c r="H16" i="108"/>
  <c r="H15" i="108"/>
  <c r="H14" i="108"/>
  <c r="H13" i="108"/>
  <c r="H12" i="108"/>
  <c r="H11" i="108"/>
  <c r="H9" i="108"/>
  <c r="H8" i="108"/>
  <c r="H41" i="108" s="1"/>
  <c r="H33" i="107"/>
  <c r="H29" i="107"/>
  <c r="H28" i="107"/>
  <c r="H24" i="107"/>
  <c r="H23" i="107"/>
  <c r="H22" i="107"/>
  <c r="H21" i="107"/>
  <c r="H20" i="107"/>
  <c r="H19" i="107"/>
  <c r="H18" i="107"/>
  <c r="H17" i="107"/>
  <c r="H16" i="107"/>
  <c r="H15" i="107"/>
  <c r="H14" i="107"/>
  <c r="H13" i="107"/>
  <c r="H12" i="107"/>
  <c r="H11" i="107"/>
  <c r="H9" i="107"/>
  <c r="H8" i="107"/>
  <c r="H41" i="107" s="1"/>
  <c r="H33" i="106"/>
  <c r="H29" i="106"/>
  <c r="H28" i="106"/>
  <c r="H24" i="106"/>
  <c r="H23" i="106"/>
  <c r="H22" i="106"/>
  <c r="H21" i="106"/>
  <c r="H20" i="106"/>
  <c r="H19" i="106"/>
  <c r="H18" i="106"/>
  <c r="H17" i="106"/>
  <c r="H16" i="106"/>
  <c r="H15" i="106"/>
  <c r="H14" i="106"/>
  <c r="H13" i="106"/>
  <c r="H12" i="106"/>
  <c r="H11" i="106"/>
  <c r="H9" i="106"/>
  <c r="H8" i="106"/>
  <c r="H41" i="106" s="1"/>
  <c r="H33" i="105"/>
  <c r="H29" i="105"/>
  <c r="H28" i="105"/>
  <c r="H24" i="105"/>
  <c r="H23" i="105"/>
  <c r="H22" i="105"/>
  <c r="H21" i="105"/>
  <c r="H20" i="105"/>
  <c r="H19" i="105"/>
  <c r="H18" i="105"/>
  <c r="H17" i="105"/>
  <c r="H16" i="105"/>
  <c r="H15" i="105"/>
  <c r="H14" i="105"/>
  <c r="H13" i="105"/>
  <c r="H12" i="105"/>
  <c r="H11" i="105"/>
  <c r="H9" i="105"/>
  <c r="H8" i="105"/>
  <c r="H41" i="105" s="1"/>
  <c r="H33" i="104"/>
  <c r="H29" i="104"/>
  <c r="H28" i="104"/>
  <c r="H24" i="104"/>
  <c r="H23" i="104"/>
  <c r="H22" i="104"/>
  <c r="H21" i="104"/>
  <c r="H20" i="104"/>
  <c r="H19" i="104"/>
  <c r="H18" i="104"/>
  <c r="H17" i="104"/>
  <c r="H16" i="104"/>
  <c r="H15" i="104"/>
  <c r="H14" i="104"/>
  <c r="H13" i="104"/>
  <c r="H12" i="104"/>
  <c r="H11" i="104"/>
  <c r="H9" i="104"/>
  <c r="H8" i="104"/>
  <c r="H41" i="104" s="1"/>
  <c r="H33" i="103"/>
  <c r="H29" i="103"/>
  <c r="H28" i="103"/>
  <c r="H24" i="103"/>
  <c r="H23" i="103"/>
  <c r="H22" i="103"/>
  <c r="H21" i="103"/>
  <c r="H20" i="103"/>
  <c r="H19" i="103"/>
  <c r="H18" i="103"/>
  <c r="H17" i="103"/>
  <c r="H16" i="103"/>
  <c r="H15" i="103"/>
  <c r="H14" i="103"/>
  <c r="H13" i="103"/>
  <c r="H12" i="103"/>
  <c r="H11" i="103"/>
  <c r="H9" i="103"/>
  <c r="H8" i="103"/>
  <c r="H41" i="103" s="1"/>
  <c r="H33" i="102"/>
  <c r="H29" i="102"/>
  <c r="H28" i="102"/>
  <c r="H24" i="102"/>
  <c r="H23" i="102"/>
  <c r="H22" i="102"/>
  <c r="H21" i="102"/>
  <c r="H20" i="102"/>
  <c r="H19" i="102"/>
  <c r="H18" i="102"/>
  <c r="H17" i="102"/>
  <c r="H16" i="102"/>
  <c r="H15" i="102"/>
  <c r="H14" i="102"/>
  <c r="H13" i="102"/>
  <c r="H12" i="102"/>
  <c r="H11" i="102"/>
  <c r="H9" i="102"/>
  <c r="H8" i="102"/>
  <c r="H41" i="102" s="1"/>
  <c r="H33" i="101"/>
  <c r="H29" i="101"/>
  <c r="H28" i="101"/>
  <c r="H24" i="101"/>
  <c r="H23" i="101"/>
  <c r="H22" i="101"/>
  <c r="H21" i="101"/>
  <c r="H20" i="101"/>
  <c r="H19" i="101"/>
  <c r="H18" i="101"/>
  <c r="H17" i="101"/>
  <c r="H16" i="101"/>
  <c r="H15" i="101"/>
  <c r="H14" i="101"/>
  <c r="H13" i="101"/>
  <c r="H12" i="101"/>
  <c r="H11" i="101"/>
  <c r="H9" i="101"/>
  <c r="H8" i="101"/>
  <c r="H41" i="101" s="1"/>
  <c r="H33" i="100"/>
  <c r="H29" i="100"/>
  <c r="H28" i="100"/>
  <c r="H24" i="100"/>
  <c r="H23" i="100"/>
  <c r="H22" i="100"/>
  <c r="H21" i="100"/>
  <c r="H20" i="100"/>
  <c r="H19" i="100"/>
  <c r="H18" i="100"/>
  <c r="H17" i="100"/>
  <c r="H16" i="100"/>
  <c r="H15" i="100"/>
  <c r="H14" i="100"/>
  <c r="H13" i="100"/>
  <c r="H12" i="100"/>
  <c r="H11" i="100"/>
  <c r="H9" i="100"/>
  <c r="H8" i="100"/>
  <c r="H41" i="100" s="1"/>
  <c r="H33" i="99"/>
  <c r="H29" i="99"/>
  <c r="H28" i="99"/>
  <c r="H24" i="99"/>
  <c r="H23" i="99"/>
  <c r="H22" i="99"/>
  <c r="H21" i="99"/>
  <c r="H20" i="99"/>
  <c r="H19" i="99"/>
  <c r="H18" i="99"/>
  <c r="H17" i="99"/>
  <c r="H16" i="99"/>
  <c r="H15" i="99"/>
  <c r="H14" i="99"/>
  <c r="H13" i="99"/>
  <c r="H12" i="99"/>
  <c r="H11" i="99"/>
  <c r="H9" i="99"/>
  <c r="H8" i="99"/>
  <c r="H41" i="99" s="1"/>
  <c r="H33" i="98"/>
  <c r="H29" i="98"/>
  <c r="H28" i="98"/>
  <c r="H24" i="98"/>
  <c r="H23" i="98"/>
  <c r="H22" i="98"/>
  <c r="H21" i="98"/>
  <c r="H20" i="98"/>
  <c r="H19" i="98"/>
  <c r="H18" i="98"/>
  <c r="H17" i="98"/>
  <c r="H16" i="98"/>
  <c r="H15" i="98"/>
  <c r="H14" i="98"/>
  <c r="H13" i="98"/>
  <c r="H12" i="98"/>
  <c r="H11" i="98"/>
  <c r="H9" i="98"/>
  <c r="H8" i="98"/>
  <c r="H33" i="97"/>
  <c r="H29" i="97"/>
  <c r="H28" i="97"/>
  <c r="H24" i="97"/>
  <c r="H23" i="97"/>
  <c r="H22" i="97"/>
  <c r="H21" i="97"/>
  <c r="H20" i="97"/>
  <c r="H19" i="97"/>
  <c r="H18" i="97"/>
  <c r="H17" i="97"/>
  <c r="H16" i="97"/>
  <c r="H15" i="97"/>
  <c r="H14" i="97"/>
  <c r="H13" i="97"/>
  <c r="H12" i="97"/>
  <c r="H11" i="97"/>
  <c r="H9" i="97"/>
  <c r="H8" i="97"/>
  <c r="H41" i="97" s="1"/>
  <c r="H33" i="96"/>
  <c r="H29" i="96"/>
  <c r="H28" i="96"/>
  <c r="H24" i="96"/>
  <c r="H23" i="96"/>
  <c r="H22" i="96"/>
  <c r="H21" i="96"/>
  <c r="H20" i="96"/>
  <c r="H19" i="96"/>
  <c r="H18" i="96"/>
  <c r="H17" i="96"/>
  <c r="H16" i="96"/>
  <c r="H15" i="96"/>
  <c r="H14" i="96"/>
  <c r="H13" i="96"/>
  <c r="H12" i="96"/>
  <c r="H11" i="96"/>
  <c r="H9" i="96"/>
  <c r="H8" i="96"/>
  <c r="H33" i="95"/>
  <c r="H29" i="95"/>
  <c r="H28" i="95"/>
  <c r="H24" i="95"/>
  <c r="H23" i="95"/>
  <c r="H22" i="95"/>
  <c r="H21" i="95"/>
  <c r="H20" i="95"/>
  <c r="H19" i="95"/>
  <c r="H18" i="95"/>
  <c r="H17" i="95"/>
  <c r="H16" i="95"/>
  <c r="H15" i="95"/>
  <c r="H14" i="95"/>
  <c r="H13" i="95"/>
  <c r="H12" i="95"/>
  <c r="H11" i="95"/>
  <c r="H9" i="95"/>
  <c r="H8" i="95"/>
  <c r="H41" i="95" s="1"/>
  <c r="H33" i="94"/>
  <c r="H29" i="94"/>
  <c r="H28" i="94"/>
  <c r="H24" i="94"/>
  <c r="H23" i="94"/>
  <c r="H22" i="94"/>
  <c r="H21" i="94"/>
  <c r="H20" i="94"/>
  <c r="H19" i="94"/>
  <c r="H18" i="94"/>
  <c r="H17" i="94"/>
  <c r="H16" i="94"/>
  <c r="H15" i="94"/>
  <c r="H14" i="94"/>
  <c r="H13" i="94"/>
  <c r="H12" i="94"/>
  <c r="H11" i="94"/>
  <c r="H9" i="94"/>
  <c r="H8" i="94"/>
  <c r="H41" i="94" s="1"/>
  <c r="H33" i="93"/>
  <c r="H29" i="93"/>
  <c r="H28" i="93"/>
  <c r="H24" i="93"/>
  <c r="H23" i="93"/>
  <c r="H22" i="93"/>
  <c r="H21" i="93"/>
  <c r="H20" i="93"/>
  <c r="H19" i="93"/>
  <c r="H18" i="93"/>
  <c r="H17" i="93"/>
  <c r="H16" i="93"/>
  <c r="H15" i="93"/>
  <c r="H14" i="93"/>
  <c r="H13" i="93"/>
  <c r="H12" i="93"/>
  <c r="H11" i="93"/>
  <c r="H9" i="93"/>
  <c r="H8" i="93"/>
  <c r="H41" i="93" s="1"/>
  <c r="H38" i="67"/>
  <c r="H12" i="67"/>
  <c r="H11" i="67"/>
  <c r="H9" i="67"/>
  <c r="H8" i="67"/>
  <c r="H38" i="66"/>
  <c r="H19" i="66"/>
  <c r="H18" i="66"/>
  <c r="H17" i="66"/>
  <c r="H16" i="66"/>
  <c r="H15" i="66"/>
  <c r="H14" i="66"/>
  <c r="H13" i="66"/>
  <c r="H12" i="66"/>
  <c r="H11" i="66"/>
  <c r="H9" i="66"/>
  <c r="H8" i="66"/>
  <c r="H38" i="65"/>
  <c r="H12" i="65"/>
  <c r="H11" i="65"/>
  <c r="H9" i="65"/>
  <c r="H8" i="65"/>
  <c r="H39" i="64"/>
  <c r="H19" i="64"/>
  <c r="H18" i="64"/>
  <c r="H17" i="64"/>
  <c r="H16" i="64"/>
  <c r="H15" i="64"/>
  <c r="H14" i="64"/>
  <c r="H13" i="64"/>
  <c r="H12" i="64"/>
  <c r="H11" i="64"/>
  <c r="H9" i="64"/>
  <c r="H8" i="64"/>
  <c r="H38" i="63"/>
  <c r="H12" i="63"/>
  <c r="H11" i="63"/>
  <c r="H9" i="63"/>
  <c r="H8" i="63"/>
  <c r="H39" i="62"/>
  <c r="H19" i="62"/>
  <c r="H18" i="62"/>
  <c r="H17" i="62"/>
  <c r="H16" i="62"/>
  <c r="H15" i="62"/>
  <c r="H14" i="62"/>
  <c r="H13" i="62"/>
  <c r="H12" i="62"/>
  <c r="H11" i="62"/>
  <c r="H9" i="62"/>
  <c r="H8" i="62"/>
  <c r="H38" i="60"/>
  <c r="H34" i="60"/>
  <c r="H33" i="60"/>
  <c r="H24" i="60"/>
  <c r="H23" i="60"/>
  <c r="H22" i="60"/>
  <c r="H21" i="60"/>
  <c r="H20" i="60"/>
  <c r="H19" i="60"/>
  <c r="H12" i="60"/>
  <c r="H11" i="60"/>
  <c r="H9" i="60"/>
  <c r="H8" i="60"/>
  <c r="H38" i="59"/>
  <c r="H34" i="59"/>
  <c r="H33" i="59"/>
  <c r="H24" i="59"/>
  <c r="H23" i="59"/>
  <c r="H22" i="59"/>
  <c r="H21" i="59"/>
  <c r="H20" i="59"/>
  <c r="H19" i="59"/>
  <c r="H18" i="59"/>
  <c r="H17" i="59"/>
  <c r="H16" i="59"/>
  <c r="H15" i="59"/>
  <c r="H14" i="59"/>
  <c r="H13" i="59"/>
  <c r="H12" i="59"/>
  <c r="H11" i="59"/>
  <c r="H9" i="59"/>
  <c r="H8" i="59"/>
  <c r="H38" i="58"/>
  <c r="H34" i="58"/>
  <c r="H33" i="58"/>
  <c r="H24" i="58"/>
  <c r="H23" i="58"/>
  <c r="H22" i="58"/>
  <c r="H21" i="58"/>
  <c r="H20" i="58"/>
  <c r="H19" i="58"/>
  <c r="H12" i="58"/>
  <c r="H11" i="58"/>
  <c r="H9" i="58"/>
  <c r="H8" i="58"/>
  <c r="H38" i="57"/>
  <c r="H34" i="57"/>
  <c r="H33" i="57"/>
  <c r="H24" i="57"/>
  <c r="H23" i="57"/>
  <c r="H22" i="57"/>
  <c r="H21" i="57"/>
  <c r="H20" i="57"/>
  <c r="H19" i="57"/>
  <c r="H18" i="57"/>
  <c r="H17" i="57"/>
  <c r="H16" i="57"/>
  <c r="H15" i="57"/>
  <c r="H14" i="57"/>
  <c r="H13" i="57"/>
  <c r="H12" i="57"/>
  <c r="H11" i="57"/>
  <c r="H9" i="57"/>
  <c r="H8" i="57"/>
  <c r="H38" i="56"/>
  <c r="H34" i="56"/>
  <c r="H33" i="56"/>
  <c r="H24" i="56"/>
  <c r="H23" i="56"/>
  <c r="H22" i="56"/>
  <c r="H21" i="56"/>
  <c r="H20" i="56"/>
  <c r="H19" i="56"/>
  <c r="H12" i="56"/>
  <c r="H11" i="56"/>
  <c r="H9" i="56"/>
  <c r="H8" i="56"/>
  <c r="H38" i="55"/>
  <c r="H34" i="55"/>
  <c r="H33" i="55"/>
  <c r="H24" i="55"/>
  <c r="H23" i="55"/>
  <c r="H22" i="55"/>
  <c r="H21" i="55"/>
  <c r="H20" i="55"/>
  <c r="H19" i="55"/>
  <c r="H18" i="55"/>
  <c r="H17" i="55"/>
  <c r="H16" i="55"/>
  <c r="H15" i="55"/>
  <c r="H14" i="55"/>
  <c r="H13" i="55"/>
  <c r="H12" i="55"/>
  <c r="H11" i="55"/>
  <c r="H9" i="55"/>
  <c r="H8" i="55"/>
  <c r="H38" i="54"/>
  <c r="H24" i="54"/>
  <c r="H23" i="54"/>
  <c r="H22" i="54"/>
  <c r="H21" i="54"/>
  <c r="H20" i="54"/>
  <c r="H19" i="54"/>
  <c r="H12" i="54"/>
  <c r="H11" i="54"/>
  <c r="H9" i="54"/>
  <c r="H8" i="54"/>
  <c r="H49" i="53"/>
  <c r="H47" i="53"/>
  <c r="H38" i="53"/>
  <c r="H34" i="53"/>
  <c r="H33" i="53"/>
  <c r="H24" i="53"/>
  <c r="H23" i="53"/>
  <c r="H22" i="53"/>
  <c r="H21" i="53"/>
  <c r="H20" i="53"/>
  <c r="H19" i="53"/>
  <c r="H18" i="53"/>
  <c r="H17" i="53"/>
  <c r="H16" i="53"/>
  <c r="H15" i="53"/>
  <c r="H14" i="53"/>
  <c r="H13" i="53"/>
  <c r="H12" i="53"/>
  <c r="H11" i="53"/>
  <c r="H9" i="53"/>
  <c r="H8" i="53"/>
  <c r="H38" i="52"/>
  <c r="H24" i="52"/>
  <c r="H23" i="52"/>
  <c r="H22" i="52"/>
  <c r="H21" i="52"/>
  <c r="H20" i="52"/>
  <c r="H19" i="52"/>
  <c r="H18" i="52"/>
  <c r="H12" i="52"/>
  <c r="H11" i="52"/>
  <c r="H38" i="51"/>
  <c r="H24" i="51"/>
  <c r="H23" i="51"/>
  <c r="H22" i="51"/>
  <c r="H21" i="51"/>
  <c r="H20" i="51"/>
  <c r="H19" i="51"/>
  <c r="H18" i="51"/>
  <c r="H17" i="51"/>
  <c r="H16" i="51"/>
  <c r="H15" i="51"/>
  <c r="H14" i="51"/>
  <c r="H13" i="51"/>
  <c r="H12" i="51"/>
  <c r="H11" i="51"/>
  <c r="H38" i="50"/>
  <c r="H24" i="50"/>
  <c r="H23" i="50"/>
  <c r="H22" i="50"/>
  <c r="H21" i="50"/>
  <c r="H20" i="50"/>
  <c r="H19" i="50"/>
  <c r="H18" i="50"/>
  <c r="H12" i="50"/>
  <c r="H11" i="50"/>
  <c r="H38" i="49"/>
  <c r="H24" i="49"/>
  <c r="H23" i="49"/>
  <c r="H22" i="49"/>
  <c r="H21" i="49"/>
  <c r="H20" i="49"/>
  <c r="H19" i="49"/>
  <c r="H18" i="49"/>
  <c r="H17" i="49"/>
  <c r="H16" i="49"/>
  <c r="H15" i="49"/>
  <c r="H14" i="49"/>
  <c r="H13" i="49"/>
  <c r="H12" i="49"/>
  <c r="H11" i="49"/>
  <c r="H38" i="48"/>
  <c r="H24" i="48"/>
  <c r="H23" i="48"/>
  <c r="H22" i="48"/>
  <c r="H21" i="48"/>
  <c r="H20" i="48"/>
  <c r="H19" i="48"/>
  <c r="H18" i="48"/>
  <c r="H12" i="48"/>
  <c r="H11" i="48"/>
  <c r="H38" i="47"/>
  <c r="H24" i="47"/>
  <c r="H23" i="47"/>
  <c r="H22" i="47"/>
  <c r="H21" i="47"/>
  <c r="H20" i="47"/>
  <c r="H19" i="47"/>
  <c r="H18" i="47"/>
  <c r="H17" i="47"/>
  <c r="H16" i="47"/>
  <c r="H15" i="47"/>
  <c r="H14" i="47"/>
  <c r="H13" i="47"/>
  <c r="H12" i="47"/>
  <c r="H11" i="47"/>
  <c r="H38" i="46"/>
  <c r="H24" i="46"/>
  <c r="H23" i="46"/>
  <c r="H22" i="46"/>
  <c r="H21" i="46"/>
  <c r="H20" i="46"/>
  <c r="H19" i="46"/>
  <c r="H18" i="46"/>
  <c r="H12" i="46"/>
  <c r="H11" i="46"/>
  <c r="H38" i="45"/>
  <c r="H24" i="45"/>
  <c r="H23" i="45"/>
  <c r="H22" i="45"/>
  <c r="H21" i="45"/>
  <c r="H20" i="45"/>
  <c r="H19" i="45"/>
  <c r="H18" i="45"/>
  <c r="H17" i="45"/>
  <c r="H16" i="45"/>
  <c r="H15" i="45"/>
  <c r="H14" i="45"/>
  <c r="H13" i="45"/>
  <c r="H12" i="45"/>
  <c r="H11" i="45"/>
  <c r="H33" i="41"/>
  <c r="H29" i="41"/>
  <c r="H28" i="41"/>
  <c r="H24" i="41"/>
  <c r="H23" i="41"/>
  <c r="H22" i="41"/>
  <c r="H21" i="41"/>
  <c r="H20" i="41"/>
  <c r="H19" i="41"/>
  <c r="H18" i="41"/>
  <c r="H17" i="41"/>
  <c r="H16" i="41"/>
  <c r="H15" i="41"/>
  <c r="H14" i="41"/>
  <c r="H13" i="41"/>
  <c r="H12" i="41"/>
  <c r="H11" i="41"/>
  <c r="H9" i="41"/>
  <c r="H8" i="41"/>
  <c r="H41" i="41" s="1"/>
  <c r="H33" i="40"/>
  <c r="H29" i="40"/>
  <c r="H28" i="40"/>
  <c r="H24" i="40"/>
  <c r="H23" i="40"/>
  <c r="H22" i="40"/>
  <c r="H21" i="40"/>
  <c r="H20" i="40"/>
  <c r="H19" i="40"/>
  <c r="H18" i="40"/>
  <c r="H17" i="40"/>
  <c r="H16" i="40"/>
  <c r="H15" i="40"/>
  <c r="H14" i="40"/>
  <c r="H13" i="40"/>
  <c r="H12" i="40"/>
  <c r="H11" i="40"/>
  <c r="H9" i="40"/>
  <c r="H8" i="40"/>
  <c r="H41" i="40" s="1"/>
  <c r="H33" i="39"/>
  <c r="H29" i="39"/>
  <c r="H28" i="39"/>
  <c r="H24" i="39"/>
  <c r="H23" i="39"/>
  <c r="H22" i="39"/>
  <c r="H21" i="39"/>
  <c r="H20" i="39"/>
  <c r="H19" i="39"/>
  <c r="H18" i="39"/>
  <c r="H17" i="39"/>
  <c r="H16" i="39"/>
  <c r="H15" i="39"/>
  <c r="H14" i="39"/>
  <c r="H13" i="39"/>
  <c r="H12" i="39"/>
  <c r="H11" i="39"/>
  <c r="H9" i="39"/>
  <c r="H8" i="39"/>
  <c r="H41" i="39" s="1"/>
  <c r="H33" i="38"/>
  <c r="H29" i="38"/>
  <c r="H28" i="38"/>
  <c r="H24" i="38"/>
  <c r="H23" i="38"/>
  <c r="H22" i="38"/>
  <c r="H21" i="38"/>
  <c r="H20" i="38"/>
  <c r="H19" i="38"/>
  <c r="H18" i="38"/>
  <c r="H17" i="38"/>
  <c r="H16" i="38"/>
  <c r="H15" i="38"/>
  <c r="H14" i="38"/>
  <c r="H13" i="38"/>
  <c r="H12" i="38"/>
  <c r="H11" i="38"/>
  <c r="H9" i="38"/>
  <c r="H8" i="38"/>
  <c r="H33" i="37"/>
  <c r="H29" i="37"/>
  <c r="H28" i="37"/>
  <c r="H24" i="37"/>
  <c r="H23" i="37"/>
  <c r="H22" i="37"/>
  <c r="H21" i="37"/>
  <c r="H20" i="37"/>
  <c r="H19" i="37"/>
  <c r="H18" i="37"/>
  <c r="H17" i="37"/>
  <c r="H16" i="37"/>
  <c r="H15" i="37"/>
  <c r="H14" i="37"/>
  <c r="H13" i="37"/>
  <c r="H12" i="37"/>
  <c r="H11" i="37"/>
  <c r="H9" i="37"/>
  <c r="H8" i="37"/>
  <c r="H33" i="36"/>
  <c r="H29" i="36"/>
  <c r="H28" i="36"/>
  <c r="H24" i="36"/>
  <c r="H23" i="36"/>
  <c r="H22" i="36"/>
  <c r="H21" i="36"/>
  <c r="H20" i="36"/>
  <c r="H19" i="36"/>
  <c r="H18" i="36"/>
  <c r="H17" i="36"/>
  <c r="H16" i="36"/>
  <c r="H15" i="36"/>
  <c r="H14" i="36"/>
  <c r="H13" i="36"/>
  <c r="H12" i="36"/>
  <c r="H11" i="36"/>
  <c r="H9" i="36"/>
  <c r="H8" i="36"/>
  <c r="H41" i="36" s="1"/>
  <c r="H33" i="35"/>
  <c r="H29" i="35"/>
  <c r="H28" i="35"/>
  <c r="H24" i="35"/>
  <c r="H23" i="35"/>
  <c r="H22" i="35"/>
  <c r="H21" i="35"/>
  <c r="H20" i="35"/>
  <c r="H19" i="35"/>
  <c r="H18" i="35"/>
  <c r="H17" i="35"/>
  <c r="H16" i="35"/>
  <c r="H15" i="35"/>
  <c r="H14" i="35"/>
  <c r="H13" i="35"/>
  <c r="H12" i="35"/>
  <c r="H11" i="35"/>
  <c r="H9" i="35"/>
  <c r="H8" i="35"/>
  <c r="H33" i="34"/>
  <c r="H29" i="34"/>
  <c r="H28" i="34"/>
  <c r="H24" i="34"/>
  <c r="H23" i="34"/>
  <c r="H22" i="34"/>
  <c r="H21" i="34"/>
  <c r="H20" i="34"/>
  <c r="H19" i="34"/>
  <c r="H18" i="34"/>
  <c r="H17" i="34"/>
  <c r="H16" i="34"/>
  <c r="H15" i="34"/>
  <c r="H14" i="34"/>
  <c r="H13" i="34"/>
  <c r="H12" i="34"/>
  <c r="H11" i="34"/>
  <c r="H9" i="34"/>
  <c r="H8" i="34"/>
  <c r="H33" i="33"/>
  <c r="H29" i="33"/>
  <c r="H28" i="33"/>
  <c r="H24" i="33"/>
  <c r="H23" i="33"/>
  <c r="H22" i="33"/>
  <c r="H21" i="33"/>
  <c r="H20" i="33"/>
  <c r="H19" i="33"/>
  <c r="H18" i="33"/>
  <c r="H17" i="33"/>
  <c r="H16" i="33"/>
  <c r="H15" i="33"/>
  <c r="H14" i="33"/>
  <c r="H13" i="33"/>
  <c r="H12" i="33"/>
  <c r="H11" i="33"/>
  <c r="H9" i="33"/>
  <c r="H8" i="33"/>
  <c r="H33" i="32"/>
  <c r="H29" i="32"/>
  <c r="H28" i="32"/>
  <c r="H24" i="32"/>
  <c r="H23" i="32"/>
  <c r="H22" i="32"/>
  <c r="H21" i="32"/>
  <c r="H20" i="32"/>
  <c r="H19" i="32"/>
  <c r="H18" i="32"/>
  <c r="H17" i="32"/>
  <c r="H16" i="32"/>
  <c r="H15" i="32"/>
  <c r="H14" i="32"/>
  <c r="H13" i="32"/>
  <c r="H12" i="32"/>
  <c r="H11" i="32"/>
  <c r="H9" i="32"/>
  <c r="H8" i="32"/>
  <c r="H41" i="32" s="1"/>
  <c r="H33" i="31"/>
  <c r="H29" i="31"/>
  <c r="H28" i="31"/>
  <c r="H24" i="31"/>
  <c r="H23" i="31"/>
  <c r="H22" i="31"/>
  <c r="H21" i="31"/>
  <c r="H20" i="31"/>
  <c r="H19" i="31"/>
  <c r="H18" i="31"/>
  <c r="H17" i="31"/>
  <c r="H16" i="31"/>
  <c r="H15" i="31"/>
  <c r="H14" i="31"/>
  <c r="H13" i="31"/>
  <c r="H12" i="31"/>
  <c r="H11" i="31"/>
  <c r="H9" i="31"/>
  <c r="H8" i="31"/>
  <c r="H41" i="31" s="1"/>
  <c r="H33" i="30"/>
  <c r="H29" i="30"/>
  <c r="H28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9" i="30"/>
  <c r="H8" i="30"/>
  <c r="H38" i="16"/>
  <c r="H12" i="16"/>
  <c r="H11" i="16"/>
  <c r="H9" i="16"/>
  <c r="H8" i="16"/>
  <c r="H38" i="13"/>
  <c r="H19" i="13"/>
  <c r="H18" i="13"/>
  <c r="H17" i="13"/>
  <c r="H16" i="13"/>
  <c r="H15" i="13"/>
  <c r="H14" i="13"/>
  <c r="H13" i="13"/>
  <c r="H12" i="13"/>
  <c r="H11" i="13"/>
  <c r="H9" i="13"/>
  <c r="H8" i="13"/>
  <c r="H38" i="15"/>
  <c r="H12" i="15"/>
  <c r="H11" i="15"/>
  <c r="H9" i="15"/>
  <c r="H8" i="15"/>
  <c r="H39" i="12"/>
  <c r="H19" i="12"/>
  <c r="H18" i="12"/>
  <c r="H17" i="12"/>
  <c r="H16" i="12"/>
  <c r="H15" i="12"/>
  <c r="H14" i="12"/>
  <c r="H13" i="12"/>
  <c r="H12" i="12"/>
  <c r="H11" i="12"/>
  <c r="H9" i="12"/>
  <c r="H8" i="12"/>
  <c r="H38" i="14"/>
  <c r="H24" i="14"/>
  <c r="H23" i="14"/>
  <c r="H20" i="14"/>
  <c r="H19" i="14"/>
  <c r="H12" i="14"/>
  <c r="H11" i="14"/>
  <c r="H9" i="14"/>
  <c r="H8" i="14"/>
  <c r="H39" i="11"/>
  <c r="H24" i="11"/>
  <c r="H23" i="11"/>
  <c r="H20" i="11"/>
  <c r="H19" i="11"/>
  <c r="H18" i="11"/>
  <c r="H17" i="11"/>
  <c r="H16" i="11"/>
  <c r="H15" i="11"/>
  <c r="H14" i="11"/>
  <c r="H13" i="11"/>
  <c r="H12" i="11"/>
  <c r="H11" i="11"/>
  <c r="H9" i="11"/>
  <c r="H8" i="11"/>
  <c r="H38" i="10"/>
  <c r="H34" i="10"/>
  <c r="H33" i="10"/>
  <c r="H24" i="10"/>
  <c r="H23" i="10"/>
  <c r="H22" i="10"/>
  <c r="H21" i="10"/>
  <c r="H20" i="10"/>
  <c r="H19" i="10"/>
  <c r="H12" i="10"/>
  <c r="H11" i="10"/>
  <c r="H9" i="10"/>
  <c r="H8" i="10"/>
  <c r="H38" i="9"/>
  <c r="H34" i="9"/>
  <c r="H33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9" i="9"/>
  <c r="H8" i="9"/>
  <c r="H38" i="7"/>
  <c r="H24" i="7"/>
  <c r="H23" i="7"/>
  <c r="H22" i="7"/>
  <c r="H21" i="7"/>
  <c r="H20" i="7"/>
  <c r="H19" i="7"/>
  <c r="H18" i="7"/>
  <c r="H12" i="7"/>
  <c r="H11" i="7"/>
  <c r="H38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38" i="4"/>
  <c r="H24" i="4"/>
  <c r="H23" i="4"/>
  <c r="H22" i="4"/>
  <c r="H21" i="4"/>
  <c r="H20" i="4"/>
  <c r="H19" i="4"/>
  <c r="H18" i="4"/>
  <c r="H12" i="4"/>
  <c r="H11" i="4"/>
  <c r="H38" i="3"/>
  <c r="H17" i="3"/>
  <c r="H16" i="3"/>
  <c r="H15" i="3"/>
  <c r="H14" i="3"/>
  <c r="H13" i="3"/>
  <c r="H12" i="3"/>
  <c r="H11" i="3"/>
  <c r="H38" i="8"/>
  <c r="H34" i="8"/>
  <c r="H33" i="8"/>
  <c r="H24" i="8"/>
  <c r="H23" i="8"/>
  <c r="H22" i="8"/>
  <c r="H21" i="8"/>
  <c r="H20" i="8"/>
  <c r="H19" i="8"/>
  <c r="H12" i="8"/>
  <c r="H11" i="8"/>
  <c r="H9" i="8"/>
  <c r="H8" i="8"/>
  <c r="H34" i="5"/>
  <c r="H33" i="5"/>
  <c r="H24" i="5"/>
  <c r="H23" i="5"/>
  <c r="H22" i="5"/>
  <c r="H21" i="5"/>
  <c r="H15" i="5"/>
  <c r="H16" i="5"/>
  <c r="H17" i="5"/>
  <c r="H18" i="5"/>
  <c r="H19" i="5"/>
  <c r="H20" i="5"/>
  <c r="H14" i="5"/>
  <c r="H13" i="5"/>
  <c r="H35" i="65" l="1"/>
  <c r="H10" i="34"/>
  <c r="H41" i="34"/>
  <c r="H10" i="37"/>
  <c r="H41" i="37"/>
  <c r="H10" i="35"/>
  <c r="H41" i="35"/>
  <c r="H10" i="98"/>
  <c r="H41" i="98"/>
  <c r="H10" i="30"/>
  <c r="H41" i="30"/>
  <c r="H10" i="38"/>
  <c r="H41" i="38"/>
  <c r="H10" i="33"/>
  <c r="H41" i="33"/>
  <c r="H10" i="96"/>
  <c r="H41" i="96"/>
  <c r="H10" i="67"/>
  <c r="H10" i="16"/>
  <c r="H10" i="63"/>
  <c r="H10" i="15"/>
  <c r="H10" i="11"/>
  <c r="H10" i="59"/>
  <c r="H10" i="58"/>
  <c r="H10" i="53"/>
  <c r="H10" i="46"/>
  <c r="H30" i="34"/>
  <c r="H10" i="52"/>
  <c r="H10" i="48"/>
  <c r="H10" i="95"/>
  <c r="H30" i="36"/>
  <c r="H10" i="97"/>
  <c r="H30" i="31"/>
  <c r="H10" i="32"/>
  <c r="H32" i="32" s="1"/>
  <c r="H30" i="35"/>
  <c r="H32" i="35" s="1"/>
  <c r="H10" i="45"/>
  <c r="H35" i="47"/>
  <c r="H10" i="50"/>
  <c r="H10" i="51"/>
  <c r="H30" i="112"/>
  <c r="H30" i="32"/>
  <c r="H10" i="8"/>
  <c r="H35" i="4"/>
  <c r="H10" i="14"/>
  <c r="H10" i="31"/>
  <c r="H10" i="118"/>
  <c r="H35" i="6"/>
  <c r="H10" i="13"/>
  <c r="H30" i="38"/>
  <c r="H32" i="38" s="1"/>
  <c r="H30" i="40"/>
  <c r="H35" i="49"/>
  <c r="H10" i="54"/>
  <c r="H10" i="56"/>
  <c r="H35" i="59"/>
  <c r="H10" i="94"/>
  <c r="H10" i="102"/>
  <c r="H10" i="112"/>
  <c r="H10" i="7"/>
  <c r="H10" i="10"/>
  <c r="H36" i="11"/>
  <c r="H36" i="12"/>
  <c r="H10" i="39"/>
  <c r="H30" i="95"/>
  <c r="H32" i="95" s="1"/>
  <c r="H32" i="31"/>
  <c r="H30" i="98"/>
  <c r="H32" i="98" s="1"/>
  <c r="H30" i="104"/>
  <c r="H30" i="116"/>
  <c r="H30" i="33"/>
  <c r="H32" i="33" s="1"/>
  <c r="H30" i="37"/>
  <c r="H32" i="37" s="1"/>
  <c r="H10" i="41"/>
  <c r="H35" i="46"/>
  <c r="H10" i="64"/>
  <c r="H10" i="93"/>
  <c r="H32" i="93" s="1"/>
  <c r="H10" i="111"/>
  <c r="H10" i="113"/>
  <c r="H10" i="115"/>
  <c r="H35" i="118"/>
  <c r="H35" i="120"/>
  <c r="H30" i="96"/>
  <c r="H32" i="96" s="1"/>
  <c r="H30" i="107"/>
  <c r="H30" i="110"/>
  <c r="H10" i="36"/>
  <c r="H32" i="36" s="1"/>
  <c r="H30" i="39"/>
  <c r="H35" i="48"/>
  <c r="H35" i="53"/>
  <c r="H36" i="62"/>
  <c r="H35" i="9"/>
  <c r="H30" i="94"/>
  <c r="H32" i="94" s="1"/>
  <c r="H30" i="101"/>
  <c r="H30" i="108"/>
  <c r="H30" i="115"/>
  <c r="H10" i="9"/>
  <c r="H10" i="40"/>
  <c r="H32" i="40" s="1"/>
  <c r="H30" i="41"/>
  <c r="H32" i="34"/>
  <c r="H35" i="50"/>
  <c r="H36" i="64"/>
  <c r="H30" i="102"/>
  <c r="H32" i="102" s="1"/>
  <c r="H37" i="121"/>
  <c r="H35" i="51"/>
  <c r="H30" i="100"/>
  <c r="H10" i="12"/>
  <c r="H30" i="30"/>
  <c r="H32" i="30" s="1"/>
  <c r="H35" i="45"/>
  <c r="H35" i="55"/>
  <c r="H35" i="57"/>
  <c r="H30" i="93"/>
  <c r="H30" i="97"/>
  <c r="H30" i="99"/>
  <c r="H30" i="103"/>
  <c r="H30" i="105"/>
  <c r="H30" i="106"/>
  <c r="H30" i="109"/>
  <c r="H32" i="109" s="1"/>
  <c r="H30" i="111"/>
  <c r="H32" i="111" s="1"/>
  <c r="H30" i="113"/>
  <c r="H30" i="114"/>
  <c r="H35" i="15"/>
  <c r="H35" i="67"/>
  <c r="H35" i="16"/>
  <c r="H35" i="63"/>
  <c r="H35" i="14"/>
  <c r="H35" i="60"/>
  <c r="H35" i="58"/>
  <c r="H35" i="56"/>
  <c r="H35" i="54"/>
  <c r="H35" i="10"/>
  <c r="H35" i="119"/>
  <c r="H35" i="52"/>
  <c r="H35" i="117"/>
  <c r="H10" i="120"/>
  <c r="H10" i="119"/>
  <c r="H10" i="117"/>
  <c r="H35" i="7"/>
  <c r="H10" i="116"/>
  <c r="H32" i="116" s="1"/>
  <c r="H10" i="114"/>
  <c r="H32" i="112"/>
  <c r="H10" i="110"/>
  <c r="H32" i="110" s="1"/>
  <c r="H10" i="109"/>
  <c r="H10" i="108"/>
  <c r="H10" i="107"/>
  <c r="H10" i="106"/>
  <c r="H10" i="105"/>
  <c r="H10" i="104"/>
  <c r="H32" i="104" s="1"/>
  <c r="H10" i="103"/>
  <c r="H10" i="101"/>
  <c r="H10" i="100"/>
  <c r="H10" i="99"/>
  <c r="H10" i="66"/>
  <c r="H10" i="65"/>
  <c r="H10" i="62"/>
  <c r="H10" i="60"/>
  <c r="H10" i="57"/>
  <c r="H10" i="55"/>
  <c r="H10" i="49"/>
  <c r="H10" i="47"/>
  <c r="H35" i="3"/>
  <c r="H10" i="6"/>
  <c r="H10" i="4"/>
  <c r="H10" i="3"/>
  <c r="H35" i="8"/>
  <c r="H37" i="16" l="1"/>
  <c r="H37" i="63"/>
  <c r="H38" i="64"/>
  <c r="H37" i="47"/>
  <c r="H37" i="120"/>
  <c r="H37" i="14"/>
  <c r="H37" i="45"/>
  <c r="H37" i="67"/>
  <c r="H37" i="15"/>
  <c r="H37" i="48"/>
  <c r="H36" i="38"/>
  <c r="H34" i="38"/>
  <c r="H38" i="38"/>
  <c r="H36" i="30"/>
  <c r="H34" i="30"/>
  <c r="H38" i="30"/>
  <c r="H36" i="35"/>
  <c r="H38" i="35"/>
  <c r="H34" i="35"/>
  <c r="H34" i="32"/>
  <c r="H36" i="32"/>
  <c r="H38" i="32"/>
  <c r="H36" i="37"/>
  <c r="H34" i="37"/>
  <c r="H38" i="37"/>
  <c r="H34" i="98"/>
  <c r="H36" i="98"/>
  <c r="H38" i="98"/>
  <c r="H37" i="59"/>
  <c r="H37" i="53"/>
  <c r="H38" i="33"/>
  <c r="H34" i="33"/>
  <c r="H36" i="33"/>
  <c r="H36" i="112"/>
  <c r="H34" i="112"/>
  <c r="H38" i="112"/>
  <c r="H36" i="111"/>
  <c r="H38" i="111"/>
  <c r="H34" i="111"/>
  <c r="H34" i="34"/>
  <c r="H38" i="34"/>
  <c r="H36" i="34"/>
  <c r="H38" i="93"/>
  <c r="H34" i="93"/>
  <c r="H36" i="93"/>
  <c r="H36" i="95"/>
  <c r="H38" i="95"/>
  <c r="H34" i="95"/>
  <c r="H34" i="31"/>
  <c r="H38" i="31"/>
  <c r="H36" i="31"/>
  <c r="H34" i="104"/>
  <c r="H38" i="104"/>
  <c r="H36" i="104"/>
  <c r="H34" i="109"/>
  <c r="H38" i="109"/>
  <c r="H36" i="109"/>
  <c r="H38" i="94"/>
  <c r="H34" i="94"/>
  <c r="H36" i="94"/>
  <c r="H34" i="102"/>
  <c r="H36" i="102"/>
  <c r="H38" i="102"/>
  <c r="H34" i="110"/>
  <c r="H38" i="110"/>
  <c r="H36" i="110"/>
  <c r="H37" i="58"/>
  <c r="H34" i="36"/>
  <c r="H38" i="36"/>
  <c r="H36" i="36"/>
  <c r="H38" i="116"/>
  <c r="H34" i="116"/>
  <c r="H36" i="116"/>
  <c r="H34" i="40"/>
  <c r="H36" i="40"/>
  <c r="H38" i="40"/>
  <c r="H36" i="96"/>
  <c r="H34" i="96"/>
  <c r="H38" i="96"/>
  <c r="H39" i="121"/>
  <c r="H41" i="121" s="1"/>
  <c r="H37" i="56"/>
  <c r="H37" i="9"/>
  <c r="H37" i="52"/>
  <c r="H37" i="51"/>
  <c r="H37" i="46"/>
  <c r="H37" i="4"/>
  <c r="H37" i="3"/>
  <c r="H37" i="7"/>
  <c r="H32" i="114"/>
  <c r="H32" i="97"/>
  <c r="H37" i="55"/>
  <c r="H37" i="50"/>
  <c r="H37" i="13"/>
  <c r="H37" i="119"/>
  <c r="H37" i="60"/>
  <c r="H32" i="103"/>
  <c r="H37" i="118"/>
  <c r="H37" i="10"/>
  <c r="H37" i="57"/>
  <c r="H37" i="6"/>
  <c r="H32" i="107"/>
  <c r="H32" i="115"/>
  <c r="H32" i="113"/>
  <c r="H37" i="65"/>
  <c r="H38" i="11"/>
  <c r="H37" i="66"/>
  <c r="H32" i="101"/>
  <c r="H32" i="41"/>
  <c r="H37" i="117"/>
  <c r="H38" i="62"/>
  <c r="H37" i="54"/>
  <c r="H32" i="39"/>
  <c r="H38" i="12"/>
  <c r="H37" i="49"/>
  <c r="H32" i="108"/>
  <c r="H32" i="106"/>
  <c r="H32" i="105"/>
  <c r="H32" i="100"/>
  <c r="H32" i="99"/>
  <c r="H37" i="8"/>
  <c r="H39" i="16" l="1"/>
  <c r="H41" i="16" s="1"/>
  <c r="H39" i="45"/>
  <c r="H41" i="45" s="1"/>
  <c r="H39" i="120"/>
  <c r="H41" i="120" s="1"/>
  <c r="H39" i="48"/>
  <c r="H41" i="48" s="1"/>
  <c r="H39" i="47"/>
  <c r="H41" i="47" s="1"/>
  <c r="H39" i="15"/>
  <c r="H41" i="15" s="1"/>
  <c r="H43" i="15" s="1"/>
  <c r="H40" i="64"/>
  <c r="H42" i="64" s="1"/>
  <c r="H39" i="58"/>
  <c r="H41" i="58" s="1"/>
  <c r="H39" i="53"/>
  <c r="H41" i="53" s="1"/>
  <c r="H39" i="63"/>
  <c r="H41" i="63" s="1"/>
  <c r="H39" i="67"/>
  <c r="H41" i="67" s="1"/>
  <c r="H39" i="14"/>
  <c r="H41" i="14" s="1"/>
  <c r="H43" i="14" s="1"/>
  <c r="H39" i="59"/>
  <c r="H41" i="59" s="1"/>
  <c r="H43" i="59" s="1"/>
  <c r="H38" i="41"/>
  <c r="H34" i="41"/>
  <c r="H36" i="41"/>
  <c r="H36" i="97"/>
  <c r="H34" i="97"/>
  <c r="H38" i="97"/>
  <c r="H36" i="107"/>
  <c r="H34" i="107"/>
  <c r="H38" i="107"/>
  <c r="H36" i="101"/>
  <c r="H34" i="101"/>
  <c r="H38" i="101"/>
  <c r="H34" i="114"/>
  <c r="H36" i="114"/>
  <c r="H38" i="114"/>
  <c r="H38" i="105"/>
  <c r="H34" i="105"/>
  <c r="H36" i="105"/>
  <c r="H34" i="115"/>
  <c r="H38" i="115"/>
  <c r="H36" i="115"/>
  <c r="H36" i="108"/>
  <c r="H34" i="108"/>
  <c r="H38" i="108"/>
  <c r="H43" i="121"/>
  <c r="H34" i="99"/>
  <c r="H38" i="99"/>
  <c r="H36" i="99"/>
  <c r="H36" i="113"/>
  <c r="H34" i="113"/>
  <c r="H38" i="113"/>
  <c r="H39" i="3"/>
  <c r="H41" i="3" s="1"/>
  <c r="H43" i="3" s="1"/>
  <c r="H34" i="39"/>
  <c r="H36" i="39"/>
  <c r="H38" i="39"/>
  <c r="H38" i="106"/>
  <c r="H36" i="106"/>
  <c r="H34" i="106"/>
  <c r="H38" i="100"/>
  <c r="H34" i="100"/>
  <c r="H36" i="100"/>
  <c r="H38" i="103"/>
  <c r="H34" i="103"/>
  <c r="H36" i="103"/>
  <c r="H39" i="66"/>
  <c r="H39" i="13"/>
  <c r="H39" i="65"/>
  <c r="H41" i="65" s="1"/>
  <c r="H43" i="65" s="1"/>
  <c r="H40" i="62"/>
  <c r="H40" i="12"/>
  <c r="H40" i="11"/>
  <c r="H42" i="11" s="1"/>
  <c r="H39" i="60"/>
  <c r="H39" i="57"/>
  <c r="H39" i="56"/>
  <c r="H41" i="56" s="1"/>
  <c r="H39" i="55"/>
  <c r="H41" i="55" s="1"/>
  <c r="H43" i="55" s="1"/>
  <c r="H39" i="54"/>
  <c r="H41" i="54" s="1"/>
  <c r="H43" i="54" s="1"/>
  <c r="H39" i="10"/>
  <c r="H39" i="9"/>
  <c r="H41" i="9" s="1"/>
  <c r="H39" i="119"/>
  <c r="H39" i="8"/>
  <c r="H41" i="8" s="1"/>
  <c r="H39" i="52"/>
  <c r="H41" i="52" s="1"/>
  <c r="H43" i="52" s="1"/>
  <c r="H39" i="51"/>
  <c r="H39" i="50"/>
  <c r="H41" i="50" s="1"/>
  <c r="H39" i="49"/>
  <c r="H41" i="49" s="1"/>
  <c r="H43" i="49" s="1"/>
  <c r="H39" i="46"/>
  <c r="H39" i="7"/>
  <c r="H41" i="7" s="1"/>
  <c r="H43" i="7" s="1"/>
  <c r="H39" i="6"/>
  <c r="H41" i="6" s="1"/>
  <c r="H43" i="6" s="1"/>
  <c r="H39" i="118"/>
  <c r="H41" i="118" s="1"/>
  <c r="H39" i="117"/>
  <c r="H41" i="117" s="1"/>
  <c r="H43" i="117" s="1"/>
  <c r="H39" i="4"/>
  <c r="H41" i="4" s="1"/>
  <c r="H9" i="5"/>
  <c r="H11" i="5"/>
  <c r="H12" i="5"/>
  <c r="H35" i="5" s="1"/>
  <c r="H38" i="5"/>
  <c r="H47" i="5"/>
  <c r="H49" i="5"/>
  <c r="H8" i="5"/>
  <c r="H43" i="16" l="1"/>
  <c r="H45" i="16" s="1"/>
  <c r="H48" i="16" s="1"/>
  <c r="H43" i="53"/>
  <c r="H45" i="53" s="1"/>
  <c r="H45" i="3"/>
  <c r="H48" i="3" s="1"/>
  <c r="H43" i="48"/>
  <c r="H45" i="48" s="1"/>
  <c r="H48" i="48" s="1"/>
  <c r="H45" i="64"/>
  <c r="H45" i="55"/>
  <c r="H48" i="55" s="1"/>
  <c r="H43" i="120"/>
  <c r="H45" i="120" s="1"/>
  <c r="H48" i="120" s="1"/>
  <c r="H45" i="14"/>
  <c r="H48" i="14" s="1"/>
  <c r="H45" i="15"/>
  <c r="H48" i="15" s="1"/>
  <c r="H45" i="7"/>
  <c r="H48" i="7" s="1"/>
  <c r="H45" i="117"/>
  <c r="H48" i="117" s="1"/>
  <c r="H43" i="67"/>
  <c r="H45" i="67" s="1"/>
  <c r="H48" i="67" s="1"/>
  <c r="H43" i="58"/>
  <c r="H45" i="49"/>
  <c r="H48" i="49" s="1"/>
  <c r="H43" i="63"/>
  <c r="H45" i="63" s="1"/>
  <c r="H45" i="65"/>
  <c r="H48" i="65" s="1"/>
  <c r="H45" i="59"/>
  <c r="H48" i="59" s="1"/>
  <c r="H45" i="52"/>
  <c r="H48" i="52" s="1"/>
  <c r="H46" i="64"/>
  <c r="H45" i="6"/>
  <c r="H48" i="6" s="1"/>
  <c r="H45" i="11"/>
  <c r="H45" i="121"/>
  <c r="H48" i="121" s="1"/>
  <c r="H45" i="54"/>
  <c r="H48" i="54" s="1"/>
  <c r="H43" i="4"/>
  <c r="H43" i="8"/>
  <c r="H43" i="56"/>
  <c r="H45" i="56" s="1"/>
  <c r="H41" i="66"/>
  <c r="H43" i="66" s="1"/>
  <c r="H41" i="13"/>
  <c r="H43" i="13" s="1"/>
  <c r="H42" i="62"/>
  <c r="H42" i="12"/>
  <c r="H46" i="12" s="1"/>
  <c r="H46" i="11"/>
  <c r="H41" i="60"/>
  <c r="H43" i="60" s="1"/>
  <c r="H41" i="57"/>
  <c r="H41" i="10"/>
  <c r="H43" i="10" s="1"/>
  <c r="H43" i="9"/>
  <c r="H45" i="9" s="1"/>
  <c r="H41" i="119"/>
  <c r="H43" i="119" s="1"/>
  <c r="H41" i="51"/>
  <c r="H43" i="51" s="1"/>
  <c r="H43" i="50"/>
  <c r="H43" i="47"/>
  <c r="H45" i="47" s="1"/>
  <c r="H41" i="46"/>
  <c r="H43" i="45"/>
  <c r="H43" i="118"/>
  <c r="H45" i="118" s="1"/>
  <c r="H10" i="5"/>
  <c r="H37" i="5" s="1"/>
  <c r="G26" i="129"/>
  <c r="G21" i="129"/>
  <c r="G8" i="129"/>
  <c r="G35" i="129"/>
  <c r="G43" i="129"/>
  <c r="G45" i="129"/>
  <c r="G12" i="129"/>
  <c r="G5" i="129"/>
  <c r="G13" i="129"/>
  <c r="G30" i="129"/>
  <c r="G25" i="129"/>
  <c r="G7" i="129"/>
  <c r="G37" i="129"/>
  <c r="G3" i="129"/>
  <c r="G34" i="129"/>
  <c r="G16" i="129"/>
  <c r="G41" i="129"/>
  <c r="H43" i="129" l="1"/>
  <c r="H34" i="129"/>
  <c r="H45" i="129"/>
  <c r="H37" i="129"/>
  <c r="H41" i="129"/>
  <c r="H35" i="129"/>
  <c r="H30" i="129"/>
  <c r="H21" i="129"/>
  <c r="H25" i="129"/>
  <c r="H26" i="129"/>
  <c r="H13" i="129"/>
  <c r="H12" i="129"/>
  <c r="H7" i="129"/>
  <c r="H16" i="129"/>
  <c r="H8" i="129"/>
  <c r="H5" i="129"/>
  <c r="H3" i="129"/>
  <c r="H48" i="11"/>
  <c r="H48" i="53"/>
  <c r="H48" i="64"/>
  <c r="H45" i="119"/>
  <c r="H48" i="119" s="1"/>
  <c r="H45" i="60"/>
  <c r="H48" i="60" s="1"/>
  <c r="H45" i="13"/>
  <c r="H48" i="13" s="1"/>
  <c r="H45" i="12"/>
  <c r="H48" i="12" s="1"/>
  <c r="H46" i="62"/>
  <c r="H45" i="62"/>
  <c r="H48" i="63"/>
  <c r="H48" i="118"/>
  <c r="H48" i="9"/>
  <c r="H45" i="50"/>
  <c r="H48" i="50" s="1"/>
  <c r="H45" i="51"/>
  <c r="H48" i="51" s="1"/>
  <c r="H48" i="56"/>
  <c r="H48" i="47"/>
  <c r="H45" i="8"/>
  <c r="H48" i="8" s="1"/>
  <c r="H45" i="45"/>
  <c r="H48" i="45" s="1"/>
  <c r="H45" i="66"/>
  <c r="H48" i="66" s="1"/>
  <c r="H43" i="57"/>
  <c r="H45" i="57" s="1"/>
  <c r="H45" i="4"/>
  <c r="H48" i="4" s="1"/>
  <c r="H45" i="58"/>
  <c r="H48" i="58" s="1"/>
  <c r="H45" i="10"/>
  <c r="H48" i="10" s="1"/>
  <c r="H39" i="5"/>
  <c r="H43" i="46"/>
  <c r="H45" i="46" s="1"/>
  <c r="G24" i="129"/>
  <c r="G22" i="129"/>
  <c r="G40" i="129"/>
  <c r="G44" i="129"/>
  <c r="G39" i="129"/>
  <c r="G42" i="129"/>
  <c r="G9" i="129"/>
  <c r="G27" i="129"/>
  <c r="G6" i="129"/>
  <c r="G36" i="129"/>
  <c r="G23" i="129"/>
  <c r="G29" i="129"/>
  <c r="G14" i="129"/>
  <c r="G15" i="129"/>
  <c r="G4" i="129"/>
  <c r="G19" i="129"/>
  <c r="G11" i="129"/>
  <c r="G20" i="129"/>
  <c r="G33" i="129"/>
  <c r="G31" i="129"/>
  <c r="H42" i="129" l="1"/>
  <c r="H39" i="129"/>
  <c r="H40" i="129"/>
  <c r="H36" i="129"/>
  <c r="H44" i="129"/>
  <c r="H33" i="129"/>
  <c r="H29" i="129"/>
  <c r="H27" i="129"/>
  <c r="H24" i="129"/>
  <c r="H31" i="129"/>
  <c r="H19" i="129"/>
  <c r="H23" i="129"/>
  <c r="H22" i="129"/>
  <c r="H20" i="129"/>
  <c r="H9" i="129"/>
  <c r="H14" i="129"/>
  <c r="H6" i="129"/>
  <c r="H11" i="129"/>
  <c r="H4" i="129"/>
  <c r="H15" i="129"/>
  <c r="H48" i="57"/>
  <c r="H48" i="62"/>
  <c r="H48" i="46"/>
  <c r="H41" i="5"/>
  <c r="G10" i="129"/>
  <c r="G28" i="129"/>
  <c r="G38" i="129"/>
  <c r="H38" i="129" l="1"/>
  <c r="H28" i="129"/>
  <c r="H10" i="129"/>
  <c r="H43" i="5"/>
  <c r="H45" i="5" l="1"/>
  <c r="H48" i="5" s="1"/>
  <c r="G18" i="129"/>
  <c r="H18" i="129" l="1"/>
</calcChain>
</file>

<file path=xl/sharedStrings.xml><?xml version="1.0" encoding="utf-8"?>
<sst xmlns="http://schemas.openxmlformats.org/spreadsheetml/2006/main" count="3938" uniqueCount="187">
  <si>
    <t>New Construction</t>
  </si>
  <si>
    <t>Single Family</t>
  </si>
  <si>
    <t>Gas Technology</t>
  </si>
  <si>
    <t>Electric tech</t>
  </si>
  <si>
    <t>Zone</t>
  </si>
  <si>
    <t>6, 4, 9, 10, 12</t>
  </si>
  <si>
    <t xml:space="preserve">Ducted Furnace </t>
  </si>
  <si>
    <t>no AC</t>
  </si>
  <si>
    <t>Ducted Split Heat Pump</t>
  </si>
  <si>
    <t>Split AC</t>
  </si>
  <si>
    <t>1990's</t>
  </si>
  <si>
    <t>3, 6</t>
  </si>
  <si>
    <t>4, 9, 10, 12</t>
  </si>
  <si>
    <t>4, 9</t>
  </si>
  <si>
    <t>10, 12</t>
  </si>
  <si>
    <t>Existing</t>
  </si>
  <si>
    <t>-</t>
  </si>
  <si>
    <t>Ducted Furnace</t>
  </si>
  <si>
    <t>No AC</t>
  </si>
  <si>
    <t>New Furnace</t>
  </si>
  <si>
    <t>AC</t>
  </si>
  <si>
    <t>Wall Furnace</t>
  </si>
  <si>
    <t>Window AC</t>
  </si>
  <si>
    <t>New Ducted Furnace, addition of ducts</t>
  </si>
  <si>
    <t>New Furnace, addition of ducts</t>
  </si>
  <si>
    <t>Non-ducted MSHP, Multi-head</t>
  </si>
  <si>
    <t>Low-Rise Multi-Family</t>
  </si>
  <si>
    <t>New Ducted mini-split heat pump</t>
  </si>
  <si>
    <t>Packaged Thermal Heat Pump</t>
  </si>
  <si>
    <t>Combined Hydronic</t>
  </si>
  <si>
    <t>New Wall Furnace</t>
  </si>
  <si>
    <t>Combined hydronic</t>
  </si>
  <si>
    <t>High-Rise Multi-Family</t>
  </si>
  <si>
    <t>Pre 1978</t>
  </si>
  <si>
    <t>Hydronic Heating only FCU, Central Gas Boiler</t>
  </si>
  <si>
    <t>In-unit 4-pipe fan coil units connected to central condensing gas boiler and existing chiller/cooling towers</t>
  </si>
  <si>
    <t>Hydronic radiators, central gas boiler</t>
  </si>
  <si>
    <t>Hydronic Heating only FCU, Central Condensing Gas Boiler</t>
  </si>
  <si>
    <t>Electric Resistance + ERV</t>
  </si>
  <si>
    <t>In-unit 4-pipe fan coil units connected to central natural gas boiler and chiller/cooling towers</t>
  </si>
  <si>
    <t>VRF</t>
  </si>
  <si>
    <t>Update with new combined gas boiler</t>
  </si>
  <si>
    <t>Keep existing system with updated condensing gas boiler and existing chiller/coolant towers</t>
  </si>
  <si>
    <t>Keep existing system, replace boiler with ASHP water heater, keep existing chiller/cooling tower</t>
  </si>
  <si>
    <t>Update with new condensing gas boiler</t>
  </si>
  <si>
    <t>Keep hydronic radiators, update central gas boiler with condensig gas boiler</t>
  </si>
  <si>
    <t>Keep existing system, replace boiler with new central AHP</t>
  </si>
  <si>
    <t>Abandon prior heating system and replace AC unit with PTHP for heating and cooling</t>
  </si>
  <si>
    <t>HVAC</t>
  </si>
  <si>
    <t>Gas Option</t>
  </si>
  <si>
    <t>Demolition</t>
  </si>
  <si>
    <t>Installation</t>
  </si>
  <si>
    <t>Air Conditioner</t>
  </si>
  <si>
    <t>Furnace</t>
  </si>
  <si>
    <t>Labor</t>
  </si>
  <si>
    <t>Remove existing furnace</t>
  </si>
  <si>
    <t>Zone 3</t>
  </si>
  <si>
    <t>Zone 4, 6, 9, 10, 12</t>
  </si>
  <si>
    <t>HR</t>
  </si>
  <si>
    <t>Disposal</t>
  </si>
  <si>
    <t>LS</t>
  </si>
  <si>
    <t>New Furnace, equipment price</t>
  </si>
  <si>
    <t>EA</t>
  </si>
  <si>
    <t>Ducted attic furnace 80 AFUE, 40 kBtu/h</t>
  </si>
  <si>
    <t>Miscellaneous supplies</t>
  </si>
  <si>
    <t>Split AC 14 SEER/12.2 EER, 2 tons</t>
  </si>
  <si>
    <t>New Air Conditioner, equipment price</t>
  </si>
  <si>
    <t>LF</t>
  </si>
  <si>
    <t>Concrete pad, precast</t>
  </si>
  <si>
    <t>Pre-1978</t>
  </si>
  <si>
    <t>Electric Option</t>
  </si>
  <si>
    <t>Subtotal</t>
  </si>
  <si>
    <t>Recommended Budget</t>
  </si>
  <si>
    <t>Heating included in split system heat pump</t>
  </si>
  <si>
    <t>Ducted mini-split heat pump, fan coil in-unit, 2-ton 21 SEER/13 EER, 11 HSPF</t>
  </si>
  <si>
    <t>Split AC 14 SEER/12.2 EER, 2.5 tons</t>
  </si>
  <si>
    <t>Split AC 14 SEER/12.2 EER, 3 tons</t>
  </si>
  <si>
    <t>Split AC 14 SEER/12.2 EER, 4 tons</t>
  </si>
  <si>
    <t>Ducted In-unit furnace 80 AFUE, 40 kBtu/h</t>
  </si>
  <si>
    <t>Ducted in-unit furnace 80 AFUE, 40 kBtu/h</t>
  </si>
  <si>
    <t>Split AC 14 SEER/12.2 EER, 1.5 tons</t>
  </si>
  <si>
    <t>Ducted mini-split heat pump, fan coil in-unit, 1.5-ton 21 SEER/13 EER, 11 HSPF</t>
  </si>
  <si>
    <t>Ducted in-unit furnace 80 AFUE, 60 kBtu/h</t>
  </si>
  <si>
    <t>Ducted mini-split heat pump, fan coil in-unit, 2.5-ton. 21 SEER/13 EER, 11 HSPF</t>
  </si>
  <si>
    <t>Ducted mini-split heat pump, fan coil in-unit, 2.5-ton 21 SEER/13 EER, 11 HSPF</t>
  </si>
  <si>
    <t>Ducted split heat pump AHU in-unit, 2-ton 18 SEER/14 EER, 10 HSPF, two-speed</t>
  </si>
  <si>
    <t>Ducted split heat pump AHU in-unit, 3-ton 18 SEER/14 EER, 10 HSPF, two-speed</t>
  </si>
  <si>
    <t>Ducted split heat pump AHU in-unit, 4-ton 18 SEER/14 EER, 10 HSPF, two-speed</t>
  </si>
  <si>
    <t>Gravity wall furnace, 64-65 AFUE, 40 kBtu/h</t>
  </si>
  <si>
    <t>Window AC, 2 units, 11-11.2 CEER, 1.5-ton</t>
  </si>
  <si>
    <t>Packaged terminal heat pump, 2-ton 11 EER, 3.3 COP</t>
  </si>
  <si>
    <t>Window AC, 2 units, 11-11.2 CEER, 3-ton</t>
  </si>
  <si>
    <t>Window AC, 2 units, 11-11.2 CEER, 2-ton</t>
  </si>
  <si>
    <t>Packaged terminal heat pump, 3-ton 11 EER, 3.3 COP</t>
  </si>
  <si>
    <t>Window AC, 2 units, 11-11.2 CEER, 4-ton</t>
  </si>
  <si>
    <t>Packaged terminal heat pump, 4-ton 11 EER, 3.3 COP</t>
  </si>
  <si>
    <t>Ducted mini-split heat pump, fan coil in-unit, 2-ton 14 SEER/12.2 EER, 8.2 HSPF</t>
  </si>
  <si>
    <t>Ducted mini-split heat pump, fan coil in-unit, 2-ton 30 SEER/15 EER, 14 HSPF</t>
  </si>
  <si>
    <t>Packaged terminal heat pump, 2-ton 7.6 EER, 2.5 COP</t>
  </si>
  <si>
    <t xml:space="preserve">Zone </t>
  </si>
  <si>
    <t>San Francisco</t>
  </si>
  <si>
    <t>San Jose</t>
  </si>
  <si>
    <t>Santa Barbara / Santa Monica / Long Beach</t>
  </si>
  <si>
    <t>Pasadena / Burbank / Pomona</t>
  </si>
  <si>
    <t>Riverside / San Bernadino</t>
  </si>
  <si>
    <t>Sacramento</t>
  </si>
  <si>
    <t>OH&amp;P</t>
  </si>
  <si>
    <t>Market</t>
  </si>
  <si>
    <t>cell 37 check</t>
  </si>
  <si>
    <t>Design and Engineering</t>
  </si>
  <si>
    <t>General Conditions and Overhead</t>
  </si>
  <si>
    <t>Contractor Profit/Market Factor</t>
  </si>
  <si>
    <t>Controls</t>
  </si>
  <si>
    <t>Ductwork modifications</t>
  </si>
  <si>
    <t>O1</t>
  </si>
  <si>
    <t>A3</t>
  </si>
  <si>
    <t xml:space="preserve">Design </t>
  </si>
  <si>
    <t>Thermostat &amp; wiring</t>
  </si>
  <si>
    <t>Not required</t>
  </si>
  <si>
    <t>A4</t>
  </si>
  <si>
    <t>Refrigerant piping and refrigerant</t>
  </si>
  <si>
    <t>None</t>
  </si>
  <si>
    <t>Not Required</t>
  </si>
  <si>
    <t>Included in heat pump</t>
  </si>
  <si>
    <t>Ductwork connections (excludes distributed ductwork)</t>
  </si>
  <si>
    <t>D20</t>
  </si>
  <si>
    <t>Remove existing wall furnace, patch &amp; repair</t>
  </si>
  <si>
    <t>Ductwork</t>
  </si>
  <si>
    <t>New ductwork throughout, including patch and repair</t>
  </si>
  <si>
    <t>Wall/Ceiling patch</t>
  </si>
  <si>
    <t>D15</t>
  </si>
  <si>
    <t>Heating and Air Conditioning</t>
  </si>
  <si>
    <t>Test &amp; Inspect</t>
  </si>
  <si>
    <t>Permit, testing and inspection</t>
  </si>
  <si>
    <t xml:space="preserve">Gas and Electrical Supply </t>
  </si>
  <si>
    <t>New electrical circuits to equipment</t>
  </si>
  <si>
    <t>Panel and main service modification</t>
  </si>
  <si>
    <t>Gas supply piping</t>
  </si>
  <si>
    <t>Included in installation</t>
  </si>
  <si>
    <t>h48</t>
  </si>
  <si>
    <t>LRMF NC Gas Z3</t>
  </si>
  <si>
    <t>LRMF NC Electric Z3 S</t>
  </si>
  <si>
    <t>LRMF NC Electric Z3 O1</t>
  </si>
  <si>
    <t>LRMF NC Electric Z3 O2</t>
  </si>
  <si>
    <t>LRMF NC Gas Z4</t>
  </si>
  <si>
    <t>LRMF NC Electric Z4</t>
  </si>
  <si>
    <t>LRMF NC Gas Z6</t>
  </si>
  <si>
    <t>LRMF NC Electric Z6</t>
  </si>
  <si>
    <t>LRMF NC Gas Z9</t>
  </si>
  <si>
    <t>LRMF NC Electric Z9</t>
  </si>
  <si>
    <t>LRMF NC Gas Z10</t>
  </si>
  <si>
    <t>LRMF NC Electric Z10</t>
  </si>
  <si>
    <t>LRMF NC Gas Z12</t>
  </si>
  <si>
    <t>LRMF NC Electric Z12</t>
  </si>
  <si>
    <t>LRMF 90 Gas Z3</t>
  </si>
  <si>
    <t>LRMF 90 Electric Z3 S</t>
  </si>
  <si>
    <t>LRMF 90 Electric Z3 O1</t>
  </si>
  <si>
    <t>LRMF 90 Electric Z3 O2</t>
  </si>
  <si>
    <t>LRMF 90 Gas Z4</t>
  </si>
  <si>
    <t>LRMF 90 Electric Z4</t>
  </si>
  <si>
    <t>LRMF 90 Gas Z6</t>
  </si>
  <si>
    <t>LRMF 90 Electric Z6</t>
  </si>
  <si>
    <t>LRMF 90 Gas Z9</t>
  </si>
  <si>
    <t>LRMF 90 Electric Z9</t>
  </si>
  <si>
    <t>LRMF 90 Gas Z10</t>
  </si>
  <si>
    <t>LRMF 90 Electric Z10</t>
  </si>
  <si>
    <t>LRMF 90 Gas Z12</t>
  </si>
  <si>
    <t>LRMF 90 Electric Z12</t>
  </si>
  <si>
    <t>LRMF 78 Gas Z3</t>
  </si>
  <si>
    <t>LRMF 78 Electric Z3 S</t>
  </si>
  <si>
    <t>LRMF 78 Electric Z3 O1</t>
  </si>
  <si>
    <t>LRMF 78 Gas Z4</t>
  </si>
  <si>
    <t>LRMF 78 Electric Z4</t>
  </si>
  <si>
    <t>LRMF 78 Gas Z6</t>
  </si>
  <si>
    <t>LRMF 78 Electric Z6</t>
  </si>
  <si>
    <t>LRMF 78 Gas Z9</t>
  </si>
  <si>
    <t>LRMF 78 Electric Z9</t>
  </si>
  <si>
    <t>LRMF 78 Gas Z10</t>
  </si>
  <si>
    <t>LRMF 78 Electric Z10</t>
  </si>
  <si>
    <t>LRMF 78 Gas Z12</t>
  </si>
  <si>
    <t>LRMF 78 Electric Z12</t>
  </si>
  <si>
    <t>Low Rise Multi-Family</t>
  </si>
  <si>
    <t>Per Unit</t>
  </si>
  <si>
    <t>Hydronic AHU in-unit</t>
  </si>
  <si>
    <t>Packaged terminal heat pump, 2-ton 11 EER, 3.3 COP, through wall</t>
  </si>
  <si>
    <t>g19</t>
  </si>
  <si>
    <t>AC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</si>
</sst>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&quot;_);_(@_)"/>
    <numFmt numFmtId="165" formatCode="&quot;Zone &quot;\ #"/>
    <numFmt numFmtId="166" formatCode="&quot;$&quot;#,##0.00;[Red]&quot;$&quot;#,##0.0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0" fillId="0" borderId="1" xfId="0" applyBorder="1"/>
    <xf numFmtId="4" fontId="0" fillId="0" borderId="1" xfId="0" applyNumberFormat="1" applyBorder="1"/>
    <xf numFmtId="164" fontId="0" fillId="0" borderId="1" xfId="0" applyNumberFormat="1" applyBorder="1"/>
    <xf numFmtId="0" fontId="1" fillId="0" borderId="0" xfId="0" applyFont="1"/>
    <xf numFmtId="0" fontId="0" fillId="0" borderId="0" xfId="0" applyFont="1"/>
    <xf numFmtId="0" fontId="0" fillId="0" borderId="0" xfId="0" applyBorder="1"/>
    <xf numFmtId="4" fontId="0" fillId="0" borderId="0" xfId="0" applyNumberFormat="1" applyBorder="1"/>
    <xf numFmtId="164" fontId="0" fillId="0" borderId="0" xfId="0" applyNumberFormat="1" applyBorder="1"/>
    <xf numFmtId="9" fontId="0" fillId="0" borderId="0" xfId="0" applyNumberFormat="1"/>
    <xf numFmtId="0" fontId="1" fillId="2" borderId="0" xfId="0" applyFont="1" applyFill="1"/>
    <xf numFmtId="4" fontId="0" fillId="2" borderId="0" xfId="0" applyNumberFormat="1" applyFill="1"/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ill="1" applyAlignment="1">
      <alignment wrapText="1"/>
    </xf>
    <xf numFmtId="0" fontId="0" fillId="3" borderId="0" xfId="0" applyFill="1"/>
    <xf numFmtId="164" fontId="0" fillId="0" borderId="0" xfId="0" applyNumberFormat="1" applyFill="1"/>
    <xf numFmtId="4" fontId="0" fillId="0" borderId="0" xfId="0" applyNumberFormat="1" applyFill="1"/>
    <xf numFmtId="0" fontId="0" fillId="0" borderId="0" xfId="0" quotePrefix="1"/>
    <xf numFmtId="166" fontId="0" fillId="0" borderId="0" xfId="0" quotePrefix="1" applyNumberFormat="1"/>
    <xf numFmtId="165" fontId="0" fillId="0" borderId="0" xfId="0" quotePrefix="1" applyNumberFormat="1"/>
    <xf numFmtId="0" fontId="0" fillId="0" borderId="2" xfId="0" applyBorder="1"/>
    <xf numFmtId="164" fontId="0" fillId="0" borderId="2" xfId="0" applyNumberFormat="1" applyBorder="1"/>
    <xf numFmtId="4" fontId="0" fillId="0" borderId="2" xfId="0" applyNumberFormat="1" applyBorder="1"/>
    <xf numFmtId="3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/>
    <xf numFmtId="0" fontId="0" fillId="0" borderId="2" xfId="0" applyBorder="1" applyAlignment="1">
      <alignment horizontal="center"/>
    </xf>
    <xf numFmtId="0" fontId="3" fillId="0" borderId="0" xfId="0" applyFont="1"/>
    <xf numFmtId="10" fontId="0" fillId="0" borderId="0" xfId="0" applyNumberFormat="1"/>
    <xf numFmtId="164" fontId="2" fillId="0" borderId="0" xfId="0" applyNumberFormat="1" applyFont="1"/>
    <xf numFmtId="9" fontId="0" fillId="0" borderId="0" xfId="1" applyFont="1"/>
    <xf numFmtId="10" fontId="0" fillId="0" borderId="0" xfId="0" applyNumberFormat="1" applyAlignment="1"/>
    <xf numFmtId="0" fontId="0" fillId="0" borderId="0" xfId="0" applyAlignment="1">
      <alignment horizontal="righ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showGridLines="0" tabSelected="1" workbookViewId="0">
      <selection activeCell="I3" sqref="I3"/>
    </sheetView>
  </sheetViews>
  <sheetFormatPr defaultRowHeight="15" x14ac:dyDescent="0.25"/>
  <cols>
    <col min="2" max="2" width="20.42578125" customWidth="1"/>
    <col min="4" max="4" width="29.7109375" customWidth="1"/>
    <col min="5" max="5" width="21.28515625" customWidth="1"/>
    <col min="6" max="6" width="15" customWidth="1"/>
    <col min="7" max="8" width="12.7109375" customWidth="1"/>
    <col min="10" max="10" width="44" customWidth="1"/>
  </cols>
  <sheetData>
    <row r="1" spans="1:11" x14ac:dyDescent="0.25">
      <c r="D1" t="s">
        <v>114</v>
      </c>
      <c r="E1" t="s">
        <v>115</v>
      </c>
      <c r="F1" t="s">
        <v>119</v>
      </c>
      <c r="G1" t="s">
        <v>139</v>
      </c>
      <c r="I1" t="s">
        <v>185</v>
      </c>
      <c r="J1" t="s">
        <v>130</v>
      </c>
      <c r="K1" t="s">
        <v>125</v>
      </c>
    </row>
    <row r="2" spans="1:11" x14ac:dyDescent="0.25">
      <c r="A2" s="46" t="s">
        <v>131</v>
      </c>
      <c r="H2" s="51" t="s">
        <v>182</v>
      </c>
      <c r="I2" t="s">
        <v>186</v>
      </c>
    </row>
    <row r="3" spans="1:11" x14ac:dyDescent="0.25">
      <c r="B3" t="s">
        <v>140</v>
      </c>
      <c r="D3" s="30" t="str">
        <f ca="1">INDIRECT("'"&amp;$B3&amp;"'!"&amp;D$1)</f>
        <v>Low Rise Multi-Family: New Construction</v>
      </c>
      <c r="E3" s="30" t="str">
        <f t="shared" ref="E3:K19" ca="1" si="0">INDIRECT("'"&amp;$B3&amp;"'!"&amp;E$1)</f>
        <v>Gas Option</v>
      </c>
      <c r="F3" s="32">
        <f t="shared" ca="1" si="0"/>
        <v>3</v>
      </c>
      <c r="G3" s="31">
        <f t="shared" ca="1" si="0"/>
        <v>40522</v>
      </c>
      <c r="H3" s="31">
        <f ca="1">G3/8</f>
        <v>5065.25</v>
      </c>
      <c r="I3" s="49"/>
      <c r="J3" s="30" t="str">
        <f t="shared" ca="1" si="0"/>
        <v>Ducted In-unit furnace 80 AFUE, 40 kBtu/h</v>
      </c>
      <c r="K3" s="30" t="str">
        <f t="shared" ca="1" si="0"/>
        <v>No AC</v>
      </c>
    </row>
    <row r="4" spans="1:11" x14ac:dyDescent="0.25">
      <c r="B4" t="s">
        <v>141</v>
      </c>
      <c r="D4" s="30" t="str">
        <f t="shared" ref="D4:D16" ca="1" si="1">INDIRECT("'"&amp;$B4&amp;"'!"&amp;D$1)</f>
        <v>Low Rise Multi-Family: New Construction</v>
      </c>
      <c r="E4" s="30" t="str">
        <f t="shared" ca="1" si="0"/>
        <v>Electric Option</v>
      </c>
      <c r="F4" s="32">
        <f t="shared" ca="1" si="0"/>
        <v>3</v>
      </c>
      <c r="G4" s="31">
        <f t="shared" ca="1" si="0"/>
        <v>74913</v>
      </c>
      <c r="H4" s="31">
        <f t="shared" ref="H4:H16" ca="1" si="2">G4/8</f>
        <v>9364.125</v>
      </c>
      <c r="I4" s="49"/>
      <c r="J4" s="30" t="str">
        <f t="shared" ca="1" si="0"/>
        <v>Heating included in split system heat pump</v>
      </c>
      <c r="K4" s="30" t="str">
        <f t="shared" ca="1" si="0"/>
        <v>Ducted mini-split heat pump, fan coil in-unit, 2-ton 21 SEER/13 EER, 11 HSPF</v>
      </c>
    </row>
    <row r="5" spans="1:11" x14ac:dyDescent="0.25">
      <c r="B5" t="s">
        <v>142</v>
      </c>
      <c r="D5" s="30" t="str">
        <f t="shared" ca="1" si="1"/>
        <v>Low Rise Multi-Family: New Construction</v>
      </c>
      <c r="E5" s="30" t="str">
        <f t="shared" ca="1" si="0"/>
        <v>Electric Option</v>
      </c>
      <c r="F5" s="32">
        <f t="shared" ca="1" si="0"/>
        <v>3</v>
      </c>
      <c r="G5" s="31">
        <f t="shared" ca="1" si="0"/>
        <v>72082</v>
      </c>
      <c r="H5" s="31">
        <f t="shared" ca="1" si="2"/>
        <v>9010.25</v>
      </c>
      <c r="I5" s="49"/>
      <c r="J5" s="30" t="str">
        <f t="shared" ca="1" si="0"/>
        <v>Heating included in split system heat pump</v>
      </c>
      <c r="K5" s="30" t="str">
        <f t="shared" ca="1" si="0"/>
        <v>Ducted mini-split heat pump, fan coil in-unit, 2-ton 14 SEER/12.2 EER, 8.2 HSPF</v>
      </c>
    </row>
    <row r="6" spans="1:11" x14ac:dyDescent="0.25">
      <c r="B6" t="s">
        <v>143</v>
      </c>
      <c r="D6" s="30" t="str">
        <f t="shared" ca="1" si="1"/>
        <v>Low Rise Multi-Family: New Construction</v>
      </c>
      <c r="E6" s="30" t="str">
        <f t="shared" ca="1" si="0"/>
        <v>Electric Option</v>
      </c>
      <c r="F6" s="32">
        <f t="shared" ca="1" si="0"/>
        <v>3</v>
      </c>
      <c r="G6" s="31">
        <f t="shared" ca="1" si="0"/>
        <v>90952</v>
      </c>
      <c r="H6" s="31">
        <f t="shared" ca="1" si="2"/>
        <v>11369</v>
      </c>
      <c r="I6" s="49"/>
      <c r="J6" s="30" t="str">
        <f t="shared" ca="1" si="0"/>
        <v>Heating included in split system heat pump</v>
      </c>
      <c r="K6" s="30" t="str">
        <f t="shared" ca="1" si="0"/>
        <v>Ducted mini-split heat pump, fan coil in-unit, 2-ton 30 SEER/15 EER, 14 HSPF</v>
      </c>
    </row>
    <row r="7" spans="1:11" x14ac:dyDescent="0.25">
      <c r="B7" t="s">
        <v>144</v>
      </c>
      <c r="D7" s="30" t="str">
        <f t="shared" ca="1" si="1"/>
        <v>Low Rise Multi-Family: New Construction</v>
      </c>
      <c r="E7" s="30" t="str">
        <f t="shared" ca="1" si="0"/>
        <v>Gas Option</v>
      </c>
      <c r="F7" s="32">
        <f t="shared" ca="1" si="0"/>
        <v>4</v>
      </c>
      <c r="G7" s="31">
        <f t="shared" ca="1" si="0"/>
        <v>92665</v>
      </c>
      <c r="H7" s="31">
        <f t="shared" ca="1" si="2"/>
        <v>11583.125</v>
      </c>
      <c r="I7" s="49"/>
      <c r="J7" s="30" t="str">
        <f t="shared" ca="1" si="0"/>
        <v>Ducted In-unit furnace 80 AFUE, 40 kBtu/h</v>
      </c>
      <c r="K7" s="30" t="str">
        <f t="shared" ca="1" si="0"/>
        <v>Split AC 14 SEER/12.2 EER, 2 tons</v>
      </c>
    </row>
    <row r="8" spans="1:11" x14ac:dyDescent="0.25">
      <c r="B8" t="s">
        <v>145</v>
      </c>
      <c r="D8" s="30" t="str">
        <f t="shared" ca="1" si="1"/>
        <v>Low Rise Multi-Family: New Construction</v>
      </c>
      <c r="E8" s="30" t="str">
        <f t="shared" ca="1" si="0"/>
        <v>Electric Option</v>
      </c>
      <c r="F8" s="32">
        <f t="shared" ca="1" si="0"/>
        <v>4</v>
      </c>
      <c r="G8" s="31">
        <f t="shared" ca="1" si="0"/>
        <v>74244</v>
      </c>
      <c r="H8" s="31">
        <f t="shared" ca="1" si="2"/>
        <v>9280.5</v>
      </c>
      <c r="I8" s="49"/>
      <c r="J8" s="30" t="str">
        <f t="shared" ca="1" si="0"/>
        <v>Heating included in split system heat pump</v>
      </c>
      <c r="K8" s="30" t="str">
        <f t="shared" ca="1" si="0"/>
        <v>Ducted mini-split heat pump, fan coil in-unit, 2-ton 21 SEER/13 EER, 11 HSPF</v>
      </c>
    </row>
    <row r="9" spans="1:11" x14ac:dyDescent="0.25">
      <c r="B9" t="s">
        <v>146</v>
      </c>
      <c r="D9" s="30" t="str">
        <f t="shared" ca="1" si="1"/>
        <v>Low Rise Multi-Family: New Construction</v>
      </c>
      <c r="E9" s="30" t="str">
        <f t="shared" ca="1" si="0"/>
        <v>Gas Option</v>
      </c>
      <c r="F9" s="32">
        <f t="shared" ca="1" si="0"/>
        <v>6</v>
      </c>
      <c r="G9" s="31">
        <f t="shared" ca="1" si="0"/>
        <v>80344</v>
      </c>
      <c r="H9" s="31">
        <f t="shared" ca="1" si="2"/>
        <v>10043</v>
      </c>
      <c r="I9" s="49"/>
      <c r="J9" s="30" t="str">
        <f t="shared" ca="1" si="0"/>
        <v>Ducted in-unit furnace 80 AFUE, 40 kBtu/h</v>
      </c>
      <c r="K9" s="30" t="str">
        <f t="shared" ca="1" si="0"/>
        <v>Split AC 14 SEER/12.2 EER, 1.5 tons</v>
      </c>
    </row>
    <row r="10" spans="1:11" x14ac:dyDescent="0.25">
      <c r="B10" t="s">
        <v>147</v>
      </c>
      <c r="D10" s="30" t="str">
        <f t="shared" ca="1" si="1"/>
        <v>Low Rise Multi-Family: New Construction</v>
      </c>
      <c r="E10" s="30" t="str">
        <f t="shared" ca="1" si="0"/>
        <v>Electric Option</v>
      </c>
      <c r="F10" s="32">
        <f t="shared" ca="1" si="0"/>
        <v>6</v>
      </c>
      <c r="G10" s="31">
        <f t="shared" ca="1" si="0"/>
        <v>67580</v>
      </c>
      <c r="H10" s="31">
        <f t="shared" ca="1" si="2"/>
        <v>8447.5</v>
      </c>
      <c r="I10" s="49"/>
      <c r="J10" s="30" t="str">
        <f t="shared" ca="1" si="0"/>
        <v>Heating included in split system heat pump</v>
      </c>
      <c r="K10" s="30" t="str">
        <f t="shared" ca="1" si="0"/>
        <v>Ducted mini-split heat pump, fan coil in-unit, 1.5-ton 21 SEER/13 EER, 11 HSPF</v>
      </c>
    </row>
    <row r="11" spans="1:11" x14ac:dyDescent="0.25">
      <c r="B11" t="s">
        <v>148</v>
      </c>
      <c r="D11" s="30" t="str">
        <f t="shared" ca="1" si="1"/>
        <v>Low Rise Multi-Family: New Construction</v>
      </c>
      <c r="E11" s="30" t="str">
        <f t="shared" ca="1" si="0"/>
        <v>Gas Option</v>
      </c>
      <c r="F11" s="32">
        <f t="shared" ca="1" si="0"/>
        <v>9</v>
      </c>
      <c r="G11" s="31">
        <f t="shared" ca="1" si="0"/>
        <v>87690</v>
      </c>
      <c r="H11" s="31">
        <f t="shared" ca="1" si="2"/>
        <v>10961.25</v>
      </c>
      <c r="I11" s="49"/>
      <c r="J11" s="30" t="str">
        <f t="shared" ca="1" si="0"/>
        <v>Ducted in-unit furnace 80 AFUE, 40 kBtu/h</v>
      </c>
      <c r="K11" s="30" t="str">
        <f t="shared" ca="1" si="0"/>
        <v>Split AC 14 SEER/12.2 EER, 2 tons</v>
      </c>
    </row>
    <row r="12" spans="1:11" x14ac:dyDescent="0.25">
      <c r="B12" t="s">
        <v>149</v>
      </c>
      <c r="D12" s="30" t="str">
        <f t="shared" ca="1" si="1"/>
        <v>Low Rise Multi-Family: New Construction</v>
      </c>
      <c r="E12" s="30" t="str">
        <f t="shared" ca="1" si="0"/>
        <v>Electric Option</v>
      </c>
      <c r="F12" s="32">
        <f t="shared" ca="1" si="0"/>
        <v>9</v>
      </c>
      <c r="G12" s="31">
        <f t="shared" ca="1" si="0"/>
        <v>71254</v>
      </c>
      <c r="H12" s="31">
        <f t="shared" ca="1" si="2"/>
        <v>8906.75</v>
      </c>
      <c r="I12" s="49"/>
      <c r="J12" s="30" t="str">
        <f t="shared" ca="1" si="0"/>
        <v>Heating included in split system heat pump</v>
      </c>
      <c r="K12" s="30" t="str">
        <f t="shared" ca="1" si="0"/>
        <v>Ducted mini-split heat pump, fan coil in-unit, 2-ton 21 SEER/13 EER, 11 HSPF</v>
      </c>
    </row>
    <row r="13" spans="1:11" x14ac:dyDescent="0.25">
      <c r="B13" t="s">
        <v>150</v>
      </c>
      <c r="D13" s="30" t="str">
        <f t="shared" ca="1" si="1"/>
        <v>Low Rise Multi-Family: New Construction</v>
      </c>
      <c r="E13" s="30" t="str">
        <f t="shared" ca="1" si="0"/>
        <v>Gas Option</v>
      </c>
      <c r="F13" s="32">
        <f t="shared" ca="1" si="0"/>
        <v>10</v>
      </c>
      <c r="G13" s="31">
        <f t="shared" ca="1" si="0"/>
        <v>87322</v>
      </c>
      <c r="H13" s="31">
        <f t="shared" ca="1" si="2"/>
        <v>10915.25</v>
      </c>
      <c r="I13" s="49"/>
      <c r="J13" s="30" t="str">
        <f t="shared" ca="1" si="0"/>
        <v>Ducted in-unit furnace 80 AFUE, 60 kBtu/h</v>
      </c>
      <c r="K13" s="30" t="str">
        <f t="shared" ca="1" si="0"/>
        <v>Split AC 14 SEER/12.2 EER, 2.5 tons</v>
      </c>
    </row>
    <row r="14" spans="1:11" x14ac:dyDescent="0.25">
      <c r="B14" t="s">
        <v>151</v>
      </c>
      <c r="D14" s="30" t="str">
        <f t="shared" ca="1" si="1"/>
        <v>Low Rise Multi-Family: New Construction</v>
      </c>
      <c r="E14" s="30" t="str">
        <f t="shared" ca="1" si="0"/>
        <v>Electric Option</v>
      </c>
      <c r="F14" s="32">
        <f t="shared" ca="1" si="0"/>
        <v>10</v>
      </c>
      <c r="G14" s="31">
        <f t="shared" ca="1" si="0"/>
        <v>72447</v>
      </c>
      <c r="H14" s="31">
        <f t="shared" ca="1" si="2"/>
        <v>9055.875</v>
      </c>
      <c r="I14" s="49"/>
      <c r="J14" s="30" t="str">
        <f t="shared" ca="1" si="0"/>
        <v>Heating included in split system heat pump</v>
      </c>
      <c r="K14" s="30" t="str">
        <f t="shared" ca="1" si="0"/>
        <v>Ducted mini-split heat pump, fan coil in-unit, 2.5-ton. 21 SEER/13 EER, 11 HSPF</v>
      </c>
    </row>
    <row r="15" spans="1:11" x14ac:dyDescent="0.25">
      <c r="B15" t="s">
        <v>152</v>
      </c>
      <c r="D15" s="30" t="str">
        <f t="shared" ca="1" si="1"/>
        <v>Low Rise Multi-Family: New Construction</v>
      </c>
      <c r="E15" s="30" t="str">
        <f t="shared" ca="1" si="0"/>
        <v>Gas Option</v>
      </c>
      <c r="F15" s="32">
        <f t="shared" ca="1" si="0"/>
        <v>12</v>
      </c>
      <c r="G15" s="31">
        <f t="shared" ca="1" si="0"/>
        <v>85670</v>
      </c>
      <c r="H15" s="31">
        <f t="shared" ca="1" si="2"/>
        <v>10708.75</v>
      </c>
      <c r="I15" s="49"/>
      <c r="J15" s="30" t="str">
        <f t="shared" ca="1" si="0"/>
        <v>Ducted in-unit furnace 80 AFUE, 60 kBtu/h</v>
      </c>
      <c r="K15" s="30" t="str">
        <f t="shared" ca="1" si="0"/>
        <v>Split AC 14 SEER/12.2 EER, 2.5 tons</v>
      </c>
    </row>
    <row r="16" spans="1:11" x14ac:dyDescent="0.25">
      <c r="B16" t="s">
        <v>153</v>
      </c>
      <c r="D16" s="30" t="str">
        <f t="shared" ca="1" si="1"/>
        <v>Low Rise Multi-Family: New Construction</v>
      </c>
      <c r="E16" s="30" t="str">
        <f t="shared" ca="1" si="0"/>
        <v>Electric Option</v>
      </c>
      <c r="F16" s="32">
        <f t="shared" ca="1" si="0"/>
        <v>12</v>
      </c>
      <c r="G16" s="31">
        <f t="shared" ca="1" si="0"/>
        <v>71621</v>
      </c>
      <c r="H16" s="31">
        <f t="shared" ca="1" si="2"/>
        <v>8952.625</v>
      </c>
      <c r="I16" s="49"/>
      <c r="J16" s="30" t="str">
        <f t="shared" ca="1" si="0"/>
        <v>Heating included in split system heat pump</v>
      </c>
      <c r="K16" s="30" t="str">
        <f t="shared" ca="1" si="0"/>
        <v>Ducted mini-split heat pump, fan coil in-unit, 2.5-ton 21 SEER/13 EER, 11 HSPF</v>
      </c>
    </row>
    <row r="17" spans="2:11" x14ac:dyDescent="0.25">
      <c r="I17" s="49"/>
    </row>
    <row r="18" spans="2:11" x14ac:dyDescent="0.25">
      <c r="B18" t="s">
        <v>154</v>
      </c>
      <c r="D18" s="30" t="str">
        <f ca="1">INDIRECT("'"&amp;$B18&amp;"'!"&amp;D$1)</f>
        <v>Low Rise Multi-Family: 1990's</v>
      </c>
      <c r="E18" s="30" t="str">
        <f t="shared" ca="1" si="0"/>
        <v>Gas Option</v>
      </c>
      <c r="F18" s="32">
        <f t="shared" ca="1" si="0"/>
        <v>3</v>
      </c>
      <c r="G18" s="31">
        <f t="shared" ca="1" si="0"/>
        <v>91758</v>
      </c>
      <c r="H18" s="31">
        <f ca="1">G18/6</f>
        <v>15293</v>
      </c>
      <c r="I18" s="31">
        <f t="shared" ca="1" si="0"/>
        <v>3200</v>
      </c>
      <c r="J18" s="30" t="str">
        <f t="shared" ca="1" si="0"/>
        <v>Hydronic AHU in-unit</v>
      </c>
      <c r="K18" s="30" t="str">
        <f t="shared" ca="1" si="0"/>
        <v>Split AC 14 SEER/12.2 EER, 1.5 tons</v>
      </c>
    </row>
    <row r="19" spans="2:11" x14ac:dyDescent="0.25">
      <c r="B19" t="s">
        <v>155</v>
      </c>
      <c r="D19" s="30" t="str">
        <f t="shared" ref="D19:K31" ca="1" si="3">INDIRECT("'"&amp;$B19&amp;"'!"&amp;D$1)</f>
        <v>Low Rise Multi-Family: 1990's</v>
      </c>
      <c r="E19" s="30" t="str">
        <f t="shared" ca="1" si="3"/>
        <v>Electric Option</v>
      </c>
      <c r="F19" s="32">
        <f t="shared" ca="1" si="3"/>
        <v>3</v>
      </c>
      <c r="G19" s="31">
        <f t="shared" ca="1" si="3"/>
        <v>90098</v>
      </c>
      <c r="H19" s="31">
        <f t="shared" ref="H19:H31" ca="1" si="4">G19/6</f>
        <v>15016.333333333334</v>
      </c>
      <c r="I19" s="31">
        <f t="shared" ca="1" si="0"/>
        <v>6300</v>
      </c>
      <c r="J19" s="30" t="str">
        <f t="shared" ca="1" si="3"/>
        <v>Heating included in split system heat pump</v>
      </c>
      <c r="K19" s="30" t="str">
        <f t="shared" ca="1" si="3"/>
        <v>Ducted mini-split heat pump, fan coil in-unit, 2-ton 21 SEER/13 EER, 11 HSPF</v>
      </c>
    </row>
    <row r="20" spans="2:11" x14ac:dyDescent="0.25">
      <c r="B20" t="s">
        <v>156</v>
      </c>
      <c r="D20" s="30" t="str">
        <f t="shared" ca="1" si="3"/>
        <v>Low Rise Multi-Family: 1990's</v>
      </c>
      <c r="E20" s="30" t="str">
        <f t="shared" ca="1" si="3"/>
        <v>Electric Option</v>
      </c>
      <c r="F20" s="32">
        <f t="shared" ca="1" si="3"/>
        <v>3</v>
      </c>
      <c r="G20" s="31">
        <f t="shared" ca="1" si="3"/>
        <v>80571</v>
      </c>
      <c r="H20" s="31">
        <f t="shared" ca="1" si="4"/>
        <v>13428.5</v>
      </c>
      <c r="I20" s="31">
        <f t="shared" ref="I20:I31" ca="1" si="5">INDIRECT("'"&amp;$B20&amp;"'!"&amp;I$1)</f>
        <v>5200</v>
      </c>
      <c r="J20" s="30" t="str">
        <f t="shared" ca="1" si="3"/>
        <v>Heating included in split system heat pump</v>
      </c>
      <c r="K20" s="30" t="str">
        <f t="shared" ca="1" si="3"/>
        <v>Ducted mini-split heat pump, fan coil in-unit, 2-ton 14 SEER/12.2 EER, 8.2 HSPF</v>
      </c>
    </row>
    <row r="21" spans="2:11" x14ac:dyDescent="0.25">
      <c r="B21" t="s">
        <v>157</v>
      </c>
      <c r="D21" s="30" t="str">
        <f t="shared" ca="1" si="3"/>
        <v>Low Rise Multi-Family: 1990's</v>
      </c>
      <c r="E21" s="30" t="str">
        <f t="shared" ca="1" si="3"/>
        <v>Electric Option</v>
      </c>
      <c r="F21" s="32">
        <f t="shared" ca="1" si="3"/>
        <v>3</v>
      </c>
      <c r="G21" s="31">
        <f t="shared" ca="1" si="3"/>
        <v>94428</v>
      </c>
      <c r="H21" s="31">
        <f t="shared" ca="1" si="4"/>
        <v>15738</v>
      </c>
      <c r="I21" s="31">
        <f t="shared" ca="1" si="5"/>
        <v>6800</v>
      </c>
      <c r="J21" s="30" t="str">
        <f t="shared" ca="1" si="3"/>
        <v>Heating included in split system heat pump</v>
      </c>
      <c r="K21" s="30" t="str">
        <f t="shared" ca="1" si="3"/>
        <v>Ducted mini-split heat pump, fan coil in-unit, 2-ton 30 SEER/15 EER, 14 HSPF</v>
      </c>
    </row>
    <row r="22" spans="2:11" x14ac:dyDescent="0.25">
      <c r="B22" t="s">
        <v>158</v>
      </c>
      <c r="D22" s="30" t="str">
        <f t="shared" ca="1" si="3"/>
        <v>Low Rise Multi-Family: 1990's</v>
      </c>
      <c r="E22" s="30" t="str">
        <f t="shared" ca="1" si="3"/>
        <v>Gas Option</v>
      </c>
      <c r="F22" s="32">
        <f t="shared" ca="1" si="3"/>
        <v>4</v>
      </c>
      <c r="G22" s="31">
        <f t="shared" ca="1" si="3"/>
        <v>92691</v>
      </c>
      <c r="H22" s="31">
        <f t="shared" ca="1" si="4"/>
        <v>15448.5</v>
      </c>
      <c r="I22" s="31">
        <f t="shared" ca="1" si="5"/>
        <v>3600</v>
      </c>
      <c r="J22" s="30" t="str">
        <f t="shared" ca="1" si="3"/>
        <v>Hydronic AHU in-unit</v>
      </c>
      <c r="K22" s="30" t="str">
        <f t="shared" ca="1" si="3"/>
        <v>Split AC 14 SEER/12.2 EER, 3 tons</v>
      </c>
    </row>
    <row r="23" spans="2:11" x14ac:dyDescent="0.25">
      <c r="B23" t="s">
        <v>159</v>
      </c>
      <c r="D23" s="30" t="str">
        <f t="shared" ca="1" si="3"/>
        <v>Low Rise Multi-Family: 1990's</v>
      </c>
      <c r="E23" s="30" t="str">
        <f t="shared" ca="1" si="3"/>
        <v>Electric Option</v>
      </c>
      <c r="F23" s="32">
        <f t="shared" ca="1" si="3"/>
        <v>4</v>
      </c>
      <c r="G23" s="31">
        <f t="shared" ca="1" si="3"/>
        <v>82824</v>
      </c>
      <c r="H23" s="31">
        <f t="shared" ca="1" si="4"/>
        <v>13804</v>
      </c>
      <c r="I23" s="31">
        <f t="shared" ca="1" si="5"/>
        <v>5900</v>
      </c>
      <c r="J23" s="30" t="str">
        <f t="shared" ca="1" si="3"/>
        <v>Heating included in split system heat pump</v>
      </c>
      <c r="K23" s="30" t="str">
        <f t="shared" ca="1" si="3"/>
        <v>Ducted split heat pump AHU in-unit, 3-ton 18 SEER/14 EER, 10 HSPF, two-speed</v>
      </c>
    </row>
    <row r="24" spans="2:11" x14ac:dyDescent="0.25">
      <c r="B24" t="s">
        <v>160</v>
      </c>
      <c r="D24" s="30" t="str">
        <f t="shared" ca="1" si="3"/>
        <v>Low Rise Multi-Family: 1990's</v>
      </c>
      <c r="E24" s="30" t="str">
        <f t="shared" ca="1" si="3"/>
        <v>Gas Option</v>
      </c>
      <c r="F24" s="32">
        <f t="shared" ca="1" si="3"/>
        <v>6</v>
      </c>
      <c r="G24" s="31">
        <f t="shared" ca="1" si="3"/>
        <v>81483</v>
      </c>
      <c r="H24" s="31">
        <f t="shared" ca="1" si="4"/>
        <v>13580.5</v>
      </c>
      <c r="I24" s="31">
        <f t="shared" ca="1" si="5"/>
        <v>3400</v>
      </c>
      <c r="J24" s="30" t="str">
        <f t="shared" ca="1" si="3"/>
        <v>Hydronic AHU in-unit</v>
      </c>
      <c r="K24" s="30" t="str">
        <f t="shared" ca="1" si="3"/>
        <v>Split AC 14 SEER/12.2 EER, 2 tons</v>
      </c>
    </row>
    <row r="25" spans="2:11" x14ac:dyDescent="0.25">
      <c r="B25" t="s">
        <v>161</v>
      </c>
      <c r="D25" s="30" t="str">
        <f t="shared" ca="1" si="3"/>
        <v>Low Rise Multi-Family: 1990's</v>
      </c>
      <c r="E25" s="30" t="str">
        <f t="shared" ca="1" si="3"/>
        <v>Electric Option</v>
      </c>
      <c r="F25" s="32">
        <f t="shared" ca="1" si="3"/>
        <v>6</v>
      </c>
      <c r="G25" s="31">
        <f t="shared" ca="1" si="3"/>
        <v>72612</v>
      </c>
      <c r="H25" s="31">
        <f t="shared" ca="1" si="4"/>
        <v>12102</v>
      </c>
      <c r="I25" s="31">
        <f t="shared" ca="1" si="5"/>
        <v>5400</v>
      </c>
      <c r="J25" s="30" t="str">
        <f t="shared" ca="1" si="3"/>
        <v>Heating included in split system heat pump</v>
      </c>
      <c r="K25" s="30" t="str">
        <f t="shared" ca="1" si="3"/>
        <v>Ducted split heat pump AHU in-unit, 2-ton 18 SEER/14 EER, 10 HSPF, two-speed</v>
      </c>
    </row>
    <row r="26" spans="2:11" x14ac:dyDescent="0.25">
      <c r="B26" t="s">
        <v>162</v>
      </c>
      <c r="D26" s="30" t="str">
        <f t="shared" ca="1" si="3"/>
        <v>Low Rise Multi-Family: 1990's</v>
      </c>
      <c r="E26" s="30" t="str">
        <f t="shared" ca="1" si="3"/>
        <v>Gas Option</v>
      </c>
      <c r="F26" s="32">
        <f t="shared" ca="1" si="3"/>
        <v>9</v>
      </c>
      <c r="G26" s="31">
        <f t="shared" ca="1" si="3"/>
        <v>84618</v>
      </c>
      <c r="H26" s="31">
        <f t="shared" ca="1" si="4"/>
        <v>14103</v>
      </c>
      <c r="I26" s="31">
        <f t="shared" ca="1" si="5"/>
        <v>3600</v>
      </c>
      <c r="J26" s="30" t="str">
        <f t="shared" ca="1" si="3"/>
        <v>Hydronic AHU in-unit</v>
      </c>
      <c r="K26" s="30" t="str">
        <f t="shared" ca="1" si="3"/>
        <v>Split AC 14 SEER/12.2 EER, 3 tons</v>
      </c>
    </row>
    <row r="27" spans="2:11" x14ac:dyDescent="0.25">
      <c r="B27" t="s">
        <v>163</v>
      </c>
      <c r="D27" s="30" t="str">
        <f t="shared" ca="1" si="3"/>
        <v>Low Rise Multi-Family: 1990's</v>
      </c>
      <c r="E27" s="30" t="str">
        <f t="shared" ca="1" si="3"/>
        <v>Electric Option</v>
      </c>
      <c r="F27" s="32">
        <f t="shared" ca="1" si="3"/>
        <v>9</v>
      </c>
      <c r="G27" s="31">
        <f t="shared" ca="1" si="3"/>
        <v>76531</v>
      </c>
      <c r="H27" s="31">
        <f t="shared" ca="1" si="4"/>
        <v>12755.166666666666</v>
      </c>
      <c r="I27" s="31">
        <f t="shared" ca="1" si="5"/>
        <v>5900</v>
      </c>
      <c r="J27" s="30" t="str">
        <f t="shared" ca="1" si="3"/>
        <v>Heating included in split system heat pump</v>
      </c>
      <c r="K27" s="30" t="str">
        <f t="shared" ca="1" si="3"/>
        <v>Ducted split heat pump AHU in-unit, 3-ton 18 SEER/14 EER, 10 HSPF, two-speed</v>
      </c>
    </row>
    <row r="28" spans="2:11" x14ac:dyDescent="0.25">
      <c r="B28" t="s">
        <v>164</v>
      </c>
      <c r="D28" s="30" t="str">
        <f t="shared" ca="1" si="3"/>
        <v>Low Rise Multi-Family: 1990's</v>
      </c>
      <c r="E28" s="30" t="str">
        <f t="shared" ca="1" si="3"/>
        <v>Gas Option</v>
      </c>
      <c r="F28" s="32">
        <f t="shared" ca="1" si="3"/>
        <v>10</v>
      </c>
      <c r="G28" s="31">
        <f t="shared" ca="1" si="3"/>
        <v>90644</v>
      </c>
      <c r="H28" s="31">
        <f t="shared" ca="1" si="4"/>
        <v>15107.333333333334</v>
      </c>
      <c r="I28" s="31">
        <f t="shared" ca="1" si="5"/>
        <v>4800</v>
      </c>
      <c r="J28" s="30" t="str">
        <f t="shared" ca="1" si="3"/>
        <v>Hydronic AHU in-unit</v>
      </c>
      <c r="K28" s="30" t="str">
        <f t="shared" ca="1" si="3"/>
        <v>Split AC 14 SEER/12.2 EER, 4 tons</v>
      </c>
    </row>
    <row r="29" spans="2:11" x14ac:dyDescent="0.25">
      <c r="B29" t="s">
        <v>165</v>
      </c>
      <c r="D29" s="30" t="str">
        <f t="shared" ca="1" si="3"/>
        <v>Low Rise Multi-Family: 1990's</v>
      </c>
      <c r="E29" s="30" t="str">
        <f t="shared" ca="1" si="3"/>
        <v>Electric Option</v>
      </c>
      <c r="F29" s="32">
        <f t="shared" ca="1" si="3"/>
        <v>10</v>
      </c>
      <c r="G29" s="31">
        <f t="shared" ca="1" si="3"/>
        <v>75953</v>
      </c>
      <c r="H29" s="31">
        <f t="shared" ca="1" si="4"/>
        <v>12658.833333333334</v>
      </c>
      <c r="I29" s="31">
        <f t="shared" ca="1" si="5"/>
        <v>6100</v>
      </c>
      <c r="J29" s="30" t="str">
        <f t="shared" ca="1" si="3"/>
        <v>Heating included in split system heat pump</v>
      </c>
      <c r="K29" s="30" t="str">
        <f t="shared" ca="1" si="3"/>
        <v>Ducted split heat pump AHU in-unit, 4-ton 18 SEER/14 EER, 10 HSPF, two-speed</v>
      </c>
    </row>
    <row r="30" spans="2:11" x14ac:dyDescent="0.25">
      <c r="B30" t="s">
        <v>166</v>
      </c>
      <c r="D30" s="30" t="str">
        <f t="shared" ca="1" si="3"/>
        <v>Low Rise Multi-Family: 1990's</v>
      </c>
      <c r="E30" s="30" t="str">
        <f t="shared" ca="1" si="3"/>
        <v>Gas Option</v>
      </c>
      <c r="F30" s="32">
        <f t="shared" ca="1" si="3"/>
        <v>12</v>
      </c>
      <c r="G30" s="31">
        <f t="shared" ca="1" si="3"/>
        <v>87570</v>
      </c>
      <c r="H30" s="31">
        <f t="shared" ca="1" si="4"/>
        <v>14595</v>
      </c>
      <c r="I30" s="31">
        <f t="shared" ca="1" si="5"/>
        <v>4800</v>
      </c>
      <c r="J30" s="30" t="str">
        <f t="shared" ca="1" si="3"/>
        <v>Hydronic AHU in-unit</v>
      </c>
      <c r="K30" s="30" t="str">
        <f t="shared" ca="1" si="3"/>
        <v>Split AC 14 SEER/12.2 EER, 4 tons</v>
      </c>
    </row>
    <row r="31" spans="2:11" x14ac:dyDescent="0.25">
      <c r="B31" t="s">
        <v>167</v>
      </c>
      <c r="D31" s="30" t="str">
        <f t="shared" ca="1" si="3"/>
        <v>Low Rise Multi-Family: 1990's</v>
      </c>
      <c r="E31" s="30" t="str">
        <f t="shared" ca="1" si="3"/>
        <v>Electric Option</v>
      </c>
      <c r="F31" s="32">
        <f t="shared" ca="1" si="3"/>
        <v>12</v>
      </c>
      <c r="G31" s="31">
        <f t="shared" ca="1" si="3"/>
        <v>74876</v>
      </c>
      <c r="H31" s="31">
        <f t="shared" ca="1" si="4"/>
        <v>12479.333333333334</v>
      </c>
      <c r="I31" s="31">
        <f t="shared" ca="1" si="5"/>
        <v>6100</v>
      </c>
      <c r="J31" s="30" t="str">
        <f t="shared" ca="1" si="3"/>
        <v>Heating included in split system heat pump</v>
      </c>
      <c r="K31" s="30" t="str">
        <f t="shared" ca="1" si="3"/>
        <v>Ducted split heat pump AHU in-unit, 4-ton 18 SEER/14 EER, 10 HSPF, two-speed</v>
      </c>
    </row>
    <row r="32" spans="2:11" x14ac:dyDescent="0.25">
      <c r="I32" s="49"/>
    </row>
    <row r="33" spans="2:11" x14ac:dyDescent="0.25">
      <c r="B33" t="s">
        <v>168</v>
      </c>
      <c r="D33" s="30" t="str">
        <f ca="1">INDIRECT("'"&amp;$B33&amp;"'!"&amp;D$1)</f>
        <v>Low Rise Multi-Family: Pre-1978</v>
      </c>
      <c r="E33" s="30" t="str">
        <f t="shared" ref="E33:K33" ca="1" si="6">INDIRECT("'"&amp;$B33&amp;"'!"&amp;E$1)</f>
        <v>Gas Option</v>
      </c>
      <c r="F33" s="32">
        <f t="shared" ca="1" si="6"/>
        <v>3</v>
      </c>
      <c r="G33" s="31">
        <f t="shared" ca="1" si="6"/>
        <v>83354</v>
      </c>
      <c r="H33" s="31">
        <f t="shared" ref="H33:H45" ca="1" si="7">G33/8</f>
        <v>10419.25</v>
      </c>
      <c r="I33" s="31">
        <f ca="1">INDIRECT("'"&amp;$B33&amp;"'!"&amp;I$1)*2</f>
        <v>1600</v>
      </c>
      <c r="J33" s="30" t="str">
        <f t="shared" ca="1" si="6"/>
        <v>Gravity wall furnace, 64-65 AFUE, 40 kBtu/h</v>
      </c>
      <c r="K33" s="30" t="str">
        <f t="shared" ca="1" si="6"/>
        <v>Window AC, 2 units, 11-11.2 CEER, 1.5-ton</v>
      </c>
    </row>
    <row r="34" spans="2:11" x14ac:dyDescent="0.25">
      <c r="B34" t="s">
        <v>169</v>
      </c>
      <c r="D34" s="30" t="str">
        <f t="shared" ref="D34:K45" ca="1" si="8">INDIRECT("'"&amp;$B34&amp;"'!"&amp;D$1)</f>
        <v>Low Rise Multi-Family: Pre-1978</v>
      </c>
      <c r="E34" s="30" t="str">
        <f t="shared" ca="1" si="8"/>
        <v>Electric Option</v>
      </c>
      <c r="F34" s="32">
        <f t="shared" ca="1" si="8"/>
        <v>3</v>
      </c>
      <c r="G34" s="31">
        <f t="shared" ca="1" si="8"/>
        <v>64868</v>
      </c>
      <c r="H34" s="31">
        <f t="shared" ca="1" si="7"/>
        <v>8108.5</v>
      </c>
      <c r="I34" s="31">
        <f t="shared" ref="I34:I45" ca="1" si="9">INDIRECT("'"&amp;$B34&amp;"'!"&amp;I$1)*2</f>
        <v>3000</v>
      </c>
      <c r="J34" s="30" t="str">
        <f t="shared" ca="1" si="8"/>
        <v>Heating included in split system heat pump</v>
      </c>
      <c r="K34" s="30" t="str">
        <f t="shared" ca="1" si="8"/>
        <v>Packaged terminal heat pump, 2-ton 11 EER, 3.3 COP, through wall</v>
      </c>
    </row>
    <row r="35" spans="2:11" x14ac:dyDescent="0.25">
      <c r="B35" t="s">
        <v>170</v>
      </c>
      <c r="D35" s="30" t="str">
        <f t="shared" ca="1" si="8"/>
        <v>Low Rise Multi-Family: Pre-1978</v>
      </c>
      <c r="E35" s="30" t="str">
        <f t="shared" ca="1" si="8"/>
        <v>Electric Option</v>
      </c>
      <c r="F35" s="32">
        <f t="shared" ca="1" si="8"/>
        <v>3</v>
      </c>
      <c r="G35" s="31">
        <f t="shared" ca="1" si="8"/>
        <v>61403</v>
      </c>
      <c r="H35" s="31">
        <f t="shared" ca="1" si="7"/>
        <v>7675.375</v>
      </c>
      <c r="I35" s="31">
        <f t="shared" ca="1" si="9"/>
        <v>2400</v>
      </c>
      <c r="J35" s="30" t="str">
        <f t="shared" ca="1" si="8"/>
        <v>Heating included in split system heat pump</v>
      </c>
      <c r="K35" s="30" t="str">
        <f t="shared" ca="1" si="8"/>
        <v>Packaged terminal heat pump, 2-ton 7.6 EER, 2.5 COP</v>
      </c>
    </row>
    <row r="36" spans="2:11" x14ac:dyDescent="0.25">
      <c r="B36" t="s">
        <v>171</v>
      </c>
      <c r="D36" s="30" t="str">
        <f t="shared" ca="1" si="8"/>
        <v>Low Rise Multi-Family: Pre-1978</v>
      </c>
      <c r="E36" s="30" t="str">
        <f t="shared" ca="1" si="8"/>
        <v>Gas Option</v>
      </c>
      <c r="F36" s="32">
        <f t="shared" ca="1" si="8"/>
        <v>4</v>
      </c>
      <c r="G36" s="31">
        <f t="shared" ca="1" si="8"/>
        <v>88871</v>
      </c>
      <c r="H36" s="31">
        <f t="shared" ca="1" si="7"/>
        <v>11108.875</v>
      </c>
      <c r="I36" s="31">
        <f t="shared" ca="1" si="9"/>
        <v>2400</v>
      </c>
      <c r="J36" s="30" t="str">
        <f t="shared" ca="1" si="8"/>
        <v>Gravity wall furnace, 64-65 AFUE, 40 kBtu/h</v>
      </c>
      <c r="K36" s="30" t="str">
        <f t="shared" ca="1" si="8"/>
        <v>Window AC, 2 units, 11-11.2 CEER, 3-ton</v>
      </c>
    </row>
    <row r="37" spans="2:11" x14ac:dyDescent="0.25">
      <c r="B37" t="s">
        <v>172</v>
      </c>
      <c r="D37" s="30" t="str">
        <f t="shared" ca="1" si="8"/>
        <v>Low Rise Multi-Family: Pre-1978</v>
      </c>
      <c r="E37" s="30" t="str">
        <f t="shared" ca="1" si="8"/>
        <v>Electric Option</v>
      </c>
      <c r="F37" s="32">
        <f t="shared" ca="1" si="8"/>
        <v>4</v>
      </c>
      <c r="G37" s="31">
        <f t="shared" ca="1" si="8"/>
        <v>65326</v>
      </c>
      <c r="H37" s="31">
        <f t="shared" ca="1" si="7"/>
        <v>8165.75</v>
      </c>
      <c r="I37" s="31">
        <f t="shared" ca="1" si="9"/>
        <v>3600</v>
      </c>
      <c r="J37" s="30" t="str">
        <f t="shared" ca="1" si="8"/>
        <v>Heating included in split system heat pump</v>
      </c>
      <c r="K37" s="30" t="str">
        <f t="shared" ca="1" si="8"/>
        <v>Packaged terminal heat pump, 3-ton 11 EER, 3.3 COP</v>
      </c>
    </row>
    <row r="38" spans="2:11" x14ac:dyDescent="0.25">
      <c r="B38" t="s">
        <v>173</v>
      </c>
      <c r="D38" s="30" t="str">
        <f t="shared" ca="1" si="8"/>
        <v>Low Rise Multi-Family: Pre-1978</v>
      </c>
      <c r="E38" s="30" t="str">
        <f t="shared" ca="1" si="8"/>
        <v>Gas Option</v>
      </c>
      <c r="F38" s="32">
        <f t="shared" ca="1" si="8"/>
        <v>6</v>
      </c>
      <c r="G38" s="31">
        <f t="shared" ca="1" si="8"/>
        <v>76120</v>
      </c>
      <c r="H38" s="31">
        <f t="shared" ca="1" si="7"/>
        <v>9515</v>
      </c>
      <c r="I38" s="31">
        <f t="shared" ca="1" si="9"/>
        <v>2000</v>
      </c>
      <c r="J38" s="30" t="str">
        <f t="shared" ca="1" si="8"/>
        <v>Gravity wall furnace, 64-65 AFUE, 40 kBtu/h</v>
      </c>
      <c r="K38" s="30" t="str">
        <f t="shared" ca="1" si="8"/>
        <v>Window AC, 2 units, 11-11.2 CEER, 2-ton</v>
      </c>
    </row>
    <row r="39" spans="2:11" x14ac:dyDescent="0.25">
      <c r="B39" t="s">
        <v>174</v>
      </c>
      <c r="D39" s="30" t="str">
        <f t="shared" ca="1" si="8"/>
        <v>Low Rise Multi-Family: Pre-1978</v>
      </c>
      <c r="E39" s="30" t="str">
        <f t="shared" ca="1" si="8"/>
        <v>Electric Option</v>
      </c>
      <c r="F39" s="32">
        <f t="shared" ca="1" si="8"/>
        <v>6</v>
      </c>
      <c r="G39" s="31">
        <f t="shared" ca="1" si="8"/>
        <v>55158</v>
      </c>
      <c r="H39" s="31">
        <f t="shared" ca="1" si="7"/>
        <v>6894.75</v>
      </c>
      <c r="I39" s="31">
        <f t="shared" ca="1" si="9"/>
        <v>3000</v>
      </c>
      <c r="J39" s="30" t="str">
        <f t="shared" ca="1" si="8"/>
        <v>Heating included in split system heat pump</v>
      </c>
      <c r="K39" s="30" t="str">
        <f t="shared" ca="1" si="8"/>
        <v>Packaged terminal heat pump, 2-ton 11 EER, 3.3 COP</v>
      </c>
    </row>
    <row r="40" spans="2:11" x14ac:dyDescent="0.25">
      <c r="B40" t="s">
        <v>175</v>
      </c>
      <c r="D40" s="30" t="str">
        <f t="shared" ca="1" si="8"/>
        <v>Low Rise Multi-Family: Pre-1978</v>
      </c>
      <c r="E40" s="30" t="str">
        <f t="shared" ca="1" si="8"/>
        <v>Gas Option</v>
      </c>
      <c r="F40" s="32">
        <f t="shared" ca="1" si="8"/>
        <v>9</v>
      </c>
      <c r="G40" s="31">
        <f t="shared" ca="1" si="8"/>
        <v>80614</v>
      </c>
      <c r="H40" s="31">
        <f t="shared" ca="1" si="7"/>
        <v>10076.75</v>
      </c>
      <c r="I40" s="31">
        <f t="shared" ca="1" si="9"/>
        <v>2400</v>
      </c>
      <c r="J40" s="30" t="str">
        <f t="shared" ca="1" si="8"/>
        <v>Gravity wall furnace, 64-65 AFUE, 40 kBtu/h</v>
      </c>
      <c r="K40" s="30" t="str">
        <f t="shared" ca="1" si="8"/>
        <v>Window AC, 2 units, 11-11.2 CEER, 3-ton</v>
      </c>
    </row>
    <row r="41" spans="2:11" x14ac:dyDescent="0.25">
      <c r="B41" t="s">
        <v>176</v>
      </c>
      <c r="D41" s="30" t="str">
        <f t="shared" ca="1" si="8"/>
        <v>Low Rise Multi-Family: Pre-1978</v>
      </c>
      <c r="E41" s="30" t="str">
        <f t="shared" ca="1" si="8"/>
        <v>Electric Option</v>
      </c>
      <c r="F41" s="32">
        <f t="shared" ca="1" si="8"/>
        <v>9</v>
      </c>
      <c r="G41" s="31">
        <f t="shared" ca="1" si="8"/>
        <v>58293</v>
      </c>
      <c r="H41" s="31">
        <f t="shared" ca="1" si="7"/>
        <v>7286.625</v>
      </c>
      <c r="I41" s="31">
        <f t="shared" ca="1" si="9"/>
        <v>3600</v>
      </c>
      <c r="J41" s="30" t="str">
        <f t="shared" ca="1" si="8"/>
        <v>Heating included in split system heat pump</v>
      </c>
      <c r="K41" s="30" t="str">
        <f t="shared" ca="1" si="8"/>
        <v>Packaged terminal heat pump, 3-ton 11 EER, 3.3 COP</v>
      </c>
    </row>
    <row r="42" spans="2:11" x14ac:dyDescent="0.25">
      <c r="B42" t="s">
        <v>177</v>
      </c>
      <c r="D42" s="30" t="str">
        <f t="shared" ca="1" si="8"/>
        <v>Low Rise Multi-Family: Pre-1978</v>
      </c>
      <c r="E42" s="30" t="str">
        <f t="shared" ca="1" si="8"/>
        <v>Gas Option</v>
      </c>
      <c r="F42" s="32">
        <f t="shared" ca="1" si="8"/>
        <v>10</v>
      </c>
      <c r="G42" s="31">
        <f t="shared" ca="1" si="8"/>
        <v>77925</v>
      </c>
      <c r="H42" s="31">
        <f t="shared" ca="1" si="7"/>
        <v>9740.625</v>
      </c>
      <c r="I42" s="31">
        <f t="shared" ca="1" si="9"/>
        <v>2800</v>
      </c>
      <c r="J42" s="30" t="str">
        <f t="shared" ca="1" si="8"/>
        <v>Gravity wall furnace, 64-65 AFUE, 40 kBtu/h</v>
      </c>
      <c r="K42" s="30" t="str">
        <f t="shared" ca="1" si="8"/>
        <v>Window AC, 2 units, 11-11.2 CEER, 4-ton</v>
      </c>
    </row>
    <row r="43" spans="2:11" x14ac:dyDescent="0.25">
      <c r="B43" t="s">
        <v>178</v>
      </c>
      <c r="D43" s="30" t="str">
        <f t="shared" ca="1" si="8"/>
        <v>Low Rise Multi-Family: Pre-1978</v>
      </c>
      <c r="E43" s="30" t="str">
        <f t="shared" ca="1" si="8"/>
        <v>Electric Option</v>
      </c>
      <c r="F43" s="32">
        <f t="shared" ca="1" si="8"/>
        <v>10</v>
      </c>
      <c r="G43" s="31">
        <f t="shared" ca="1" si="8"/>
        <v>56023</v>
      </c>
      <c r="H43" s="31">
        <f t="shared" ca="1" si="7"/>
        <v>7002.875</v>
      </c>
      <c r="I43" s="31">
        <f t="shared" ca="1" si="9"/>
        <v>4400</v>
      </c>
      <c r="J43" s="30" t="str">
        <f t="shared" ca="1" si="8"/>
        <v>Heating included in split system heat pump</v>
      </c>
      <c r="K43" s="30" t="str">
        <f t="shared" ca="1" si="8"/>
        <v>Packaged terminal heat pump, 4-ton 11 EER, 3.3 COP</v>
      </c>
    </row>
    <row r="44" spans="2:11" x14ac:dyDescent="0.25">
      <c r="B44" t="s">
        <v>179</v>
      </c>
      <c r="D44" s="30" t="str">
        <f t="shared" ca="1" si="8"/>
        <v>Low Rise Multi-Family: Pre-1978</v>
      </c>
      <c r="E44" s="30" t="str">
        <f t="shared" ca="1" si="8"/>
        <v>Gas Option</v>
      </c>
      <c r="F44" s="32">
        <f t="shared" ca="1" si="8"/>
        <v>12</v>
      </c>
      <c r="G44" s="31">
        <f t="shared" ca="1" si="8"/>
        <v>76183</v>
      </c>
      <c r="H44" s="31">
        <f t="shared" ca="1" si="7"/>
        <v>9522.875</v>
      </c>
      <c r="I44" s="31">
        <f t="shared" ca="1" si="9"/>
        <v>2800</v>
      </c>
      <c r="J44" s="30" t="str">
        <f t="shared" ca="1" si="8"/>
        <v>Gravity wall furnace, 64-65 AFUE, 40 kBtu/h</v>
      </c>
      <c r="K44" s="30" t="str">
        <f t="shared" ca="1" si="8"/>
        <v>Window AC, 2 units, 11-11.2 CEER, 4-ton</v>
      </c>
    </row>
    <row r="45" spans="2:11" x14ac:dyDescent="0.25">
      <c r="B45" t="s">
        <v>180</v>
      </c>
      <c r="D45" s="30" t="str">
        <f t="shared" ca="1" si="8"/>
        <v>Low Rise Multi-Family: Pre-1978</v>
      </c>
      <c r="E45" s="30" t="str">
        <f t="shared" ca="1" si="8"/>
        <v>Electric Option</v>
      </c>
      <c r="F45" s="32">
        <f t="shared" ca="1" si="8"/>
        <v>12</v>
      </c>
      <c r="G45" s="31">
        <f t="shared" ca="1" si="8"/>
        <v>54281</v>
      </c>
      <c r="H45" s="31">
        <f t="shared" ca="1" si="7"/>
        <v>6785.125</v>
      </c>
      <c r="I45" s="31">
        <f t="shared" ca="1" si="9"/>
        <v>4400</v>
      </c>
      <c r="J45" s="30" t="str">
        <f t="shared" ca="1" si="8"/>
        <v>Heating included in split system heat pump</v>
      </c>
      <c r="K45" s="30" t="str">
        <f t="shared" ca="1" si="8"/>
        <v>Packaged terminal heat pump, 4-ton 11 EER, 3.3 COP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7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>
        <v>4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95</v>
      </c>
      <c r="H8" s="10">
        <f>E8*G8</f>
        <v>2280</v>
      </c>
    </row>
    <row r="9" spans="1:15" x14ac:dyDescent="0.25">
      <c r="D9" t="s">
        <v>59</v>
      </c>
      <c r="E9">
        <v>6</v>
      </c>
      <c r="F9" s="41" t="s">
        <v>60</v>
      </c>
      <c r="G9" s="9">
        <v>500</v>
      </c>
      <c r="H9" s="10">
        <f t="shared" ref="H9:H38" si="0">E9*G9</f>
        <v>3000</v>
      </c>
    </row>
    <row r="10" spans="1:15" x14ac:dyDescent="0.25">
      <c r="E10" s="11"/>
      <c r="F10" s="42"/>
      <c r="G10" s="12"/>
      <c r="H10" s="13">
        <f>SUBTOTAL(9,H6:H9)</f>
        <v>5280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6</v>
      </c>
      <c r="F14" s="41" t="s">
        <v>62</v>
      </c>
      <c r="G14" s="29">
        <v>1400</v>
      </c>
      <c r="H14" s="10">
        <f t="shared" si="0"/>
        <v>8400</v>
      </c>
    </row>
    <row r="15" spans="1:15" x14ac:dyDescent="0.25">
      <c r="D15" s="24" t="s">
        <v>183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6</v>
      </c>
      <c r="F16" s="41" t="s">
        <v>60</v>
      </c>
      <c r="G16" s="9">
        <v>250</v>
      </c>
      <c r="H16" s="10">
        <f t="shared" si="0"/>
        <v>1500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95</v>
      </c>
      <c r="H17" s="10">
        <f t="shared" si="0"/>
        <v>9120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6</v>
      </c>
      <c r="F19" s="41" t="s">
        <v>62</v>
      </c>
      <c r="G19" s="29">
        <v>3600</v>
      </c>
      <c r="H19" s="10">
        <f t="shared" si="0"/>
        <v>21600</v>
      </c>
    </row>
    <row r="20" spans="3:8" x14ac:dyDescent="0.25">
      <c r="D20" s="22" t="s">
        <v>76</v>
      </c>
      <c r="F20" s="41"/>
      <c r="G20" s="9"/>
      <c r="H20" s="10">
        <f t="shared" si="0"/>
        <v>0</v>
      </c>
    </row>
    <row r="21" spans="3:8" x14ac:dyDescent="0.25">
      <c r="D21" s="2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f>4*16</f>
        <v>64</v>
      </c>
      <c r="F24" s="41" t="s">
        <v>58</v>
      </c>
      <c r="G24" s="9">
        <f>VLOOKUP($A$4,zone_lu,4)</f>
        <v>95</v>
      </c>
      <c r="H24" s="10">
        <f t="shared" si="0"/>
        <v>6080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6</v>
      </c>
      <c r="F28" s="41" t="s">
        <v>62</v>
      </c>
      <c r="G28" s="9">
        <v>95</v>
      </c>
      <c r="H28" s="10">
        <f t="shared" si="0"/>
        <v>570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/>
      <c r="G30" s="9"/>
      <c r="H30" s="39" t="s">
        <v>15</v>
      </c>
    </row>
    <row r="31" spans="3:8" x14ac:dyDescent="0.25">
      <c r="D31" t="s">
        <v>54</v>
      </c>
      <c r="E31">
        <v>32</v>
      </c>
      <c r="F31" s="41" t="s">
        <v>58</v>
      </c>
      <c r="G31" s="9">
        <f>VLOOKUP($A$4,zone_lu,4)</f>
        <v>95</v>
      </c>
      <c r="H31" s="10">
        <f t="shared" si="0"/>
        <v>3040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24</v>
      </c>
      <c r="F34" s="41" t="s">
        <v>58</v>
      </c>
      <c r="G34" s="9">
        <f>VLOOKUP($A$4,zone_lu,4)</f>
        <v>95</v>
      </c>
      <c r="H34" s="10">
        <f t="shared" si="0"/>
        <v>2280</v>
      </c>
    </row>
    <row r="35" spans="2:9" x14ac:dyDescent="0.25">
      <c r="E35" s="11"/>
      <c r="F35" s="42"/>
      <c r="G35" s="12"/>
      <c r="H35" s="13">
        <f>SUBTOTAL(9,H12:H34)</f>
        <v>61890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67170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0.18</v>
      </c>
      <c r="F39" s="41"/>
      <c r="G39" s="9"/>
      <c r="H39" s="10">
        <f>ROUND(H37*E39,0)</f>
        <v>12091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7926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1090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0.05</v>
      </c>
      <c r="F45" s="41"/>
      <c r="G45" s="9"/>
      <c r="H45" s="10">
        <f>ROUND(SUM(H37:H44)*E45,0)</f>
        <v>4414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92691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9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1" customWidth="1"/>
    <col min="7" max="7" width="8.85546875" style="9"/>
    <col min="8" max="8" width="9.140625" style="8" bestFit="1" customWidth="1"/>
  </cols>
  <sheetData>
    <row r="1" spans="1:15" x14ac:dyDescent="0.25">
      <c r="A1" t="s">
        <v>181</v>
      </c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>
        <v>6</v>
      </c>
      <c r="B4" s="52"/>
      <c r="C4" s="52"/>
    </row>
    <row r="6" spans="1:15" x14ac:dyDescent="0.25">
      <c r="B6" t="s">
        <v>50</v>
      </c>
    </row>
    <row r="7" spans="1:15" x14ac:dyDescent="0.25">
      <c r="C7" t="s">
        <v>55</v>
      </c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85</v>
      </c>
      <c r="H8" s="10">
        <f>E8*G8</f>
        <v>2040</v>
      </c>
    </row>
    <row r="9" spans="1:15" x14ac:dyDescent="0.25">
      <c r="D9" t="s">
        <v>59</v>
      </c>
      <c r="E9">
        <v>6</v>
      </c>
      <c r="F9" s="41" t="s">
        <v>60</v>
      </c>
      <c r="G9" s="9">
        <v>500</v>
      </c>
      <c r="H9" s="10">
        <f t="shared" ref="H9:H49" si="0">E9*G9</f>
        <v>3000</v>
      </c>
    </row>
    <row r="10" spans="1:15" x14ac:dyDescent="0.25">
      <c r="E10" s="11"/>
      <c r="F10" s="42"/>
      <c r="G10" s="12"/>
      <c r="H10" s="13">
        <f>SUBTOTAL(9,H6:H9)</f>
        <v>5040</v>
      </c>
    </row>
    <row r="11" spans="1:15" x14ac:dyDescent="0.25">
      <c r="H11" s="10">
        <f t="shared" si="0"/>
        <v>0</v>
      </c>
    </row>
    <row r="12" spans="1:15" x14ac:dyDescent="0.25">
      <c r="B12" t="s">
        <v>51</v>
      </c>
      <c r="H12" s="10">
        <f t="shared" si="0"/>
        <v>0</v>
      </c>
    </row>
    <row r="13" spans="1:15" x14ac:dyDescent="0.25">
      <c r="C13" t="s">
        <v>53</v>
      </c>
      <c r="H13" s="10">
        <f t="shared" si="0"/>
        <v>0</v>
      </c>
    </row>
    <row r="14" spans="1:15" x14ac:dyDescent="0.25">
      <c r="D14" t="s">
        <v>61</v>
      </c>
      <c r="E14">
        <v>6</v>
      </c>
      <c r="F14" s="41" t="s">
        <v>62</v>
      </c>
      <c r="G14" s="29">
        <v>1200</v>
      </c>
      <c r="H14" s="10">
        <f t="shared" si="0"/>
        <v>7200</v>
      </c>
    </row>
    <row r="15" spans="1:15" x14ac:dyDescent="0.25">
      <c r="D15" s="24" t="s">
        <v>183</v>
      </c>
      <c r="H15" s="10">
        <f t="shared" si="0"/>
        <v>0</v>
      </c>
    </row>
    <row r="16" spans="1:15" x14ac:dyDescent="0.25">
      <c r="D16" s="23" t="s">
        <v>64</v>
      </c>
      <c r="E16">
        <v>6</v>
      </c>
      <c r="F16" s="41" t="s">
        <v>60</v>
      </c>
      <c r="G16" s="9">
        <v>250</v>
      </c>
      <c r="H16" s="10">
        <f t="shared" si="0"/>
        <v>1500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85</v>
      </c>
      <c r="H17" s="10">
        <f t="shared" si="0"/>
        <v>8160</v>
      </c>
    </row>
    <row r="18" spans="3:8" x14ac:dyDescent="0.25">
      <c r="C18" t="s">
        <v>52</v>
      </c>
      <c r="D18" s="23"/>
      <c r="H18" s="10">
        <f t="shared" si="0"/>
        <v>0</v>
      </c>
    </row>
    <row r="19" spans="3:8" x14ac:dyDescent="0.25">
      <c r="D19" s="23" t="s">
        <v>66</v>
      </c>
      <c r="E19">
        <v>6</v>
      </c>
      <c r="F19" s="41" t="s">
        <v>62</v>
      </c>
      <c r="G19" s="29">
        <v>3400</v>
      </c>
      <c r="H19" s="10">
        <f t="shared" si="0"/>
        <v>20400</v>
      </c>
    </row>
    <row r="20" spans="3:8" x14ac:dyDescent="0.25">
      <c r="D20" s="22" t="s">
        <v>65</v>
      </c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f>4*16</f>
        <v>64</v>
      </c>
      <c r="F24" s="41" t="s">
        <v>58</v>
      </c>
      <c r="G24" s="9">
        <f>VLOOKUP($A$4,zone_lu,4)</f>
        <v>85</v>
      </c>
      <c r="H24" s="10">
        <f t="shared" si="0"/>
        <v>5440</v>
      </c>
    </row>
    <row r="25" spans="3:8" x14ac:dyDescent="0.25">
      <c r="C25" t="s">
        <v>112</v>
      </c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H27" s="10"/>
    </row>
    <row r="28" spans="3:8" x14ac:dyDescent="0.25">
      <c r="D28" t="s">
        <v>135</v>
      </c>
      <c r="E28">
        <v>6</v>
      </c>
      <c r="F28" s="41" t="s">
        <v>62</v>
      </c>
      <c r="G28" s="9">
        <v>95</v>
      </c>
      <c r="H28" s="10">
        <f t="shared" si="0"/>
        <v>570</v>
      </c>
    </row>
    <row r="29" spans="3:8" x14ac:dyDescent="0.25">
      <c r="D29" t="s">
        <v>136</v>
      </c>
      <c r="H29" s="39" t="s">
        <v>118</v>
      </c>
    </row>
    <row r="30" spans="3:8" x14ac:dyDescent="0.25">
      <c r="D30" t="s">
        <v>137</v>
      </c>
      <c r="H30" s="39" t="s">
        <v>15</v>
      </c>
    </row>
    <row r="31" spans="3:8" x14ac:dyDescent="0.25">
      <c r="D31" t="s">
        <v>54</v>
      </c>
      <c r="E31">
        <v>32</v>
      </c>
      <c r="F31" s="41" t="s">
        <v>58</v>
      </c>
      <c r="G31" s="9">
        <f>VLOOKUP($A$4,zone_lu,4)</f>
        <v>85</v>
      </c>
      <c r="H31" s="10">
        <f t="shared" si="0"/>
        <v>2720</v>
      </c>
    </row>
    <row r="32" spans="3:8" x14ac:dyDescent="0.25">
      <c r="C32" t="s">
        <v>113</v>
      </c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24</v>
      </c>
      <c r="F34" s="41" t="s">
        <v>58</v>
      </c>
      <c r="G34" s="9">
        <f>VLOOKUP($A$4,zone_lu,4)</f>
        <v>85</v>
      </c>
      <c r="H34" s="10">
        <f t="shared" si="0"/>
        <v>2040</v>
      </c>
    </row>
    <row r="35" spans="2:9" x14ac:dyDescent="0.25">
      <c r="E35" s="11"/>
      <c r="F35" s="42"/>
      <c r="G35" s="12"/>
      <c r="H35" s="13">
        <f>SUBTOTAL(9,H12:H34)</f>
        <v>57330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62370</v>
      </c>
    </row>
    <row r="38" spans="2:9" x14ac:dyDescent="0.25"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H39" s="10">
        <f>ROUND(H37*E39,0)</f>
        <v>9356</v>
      </c>
      <c r="I39" s="10">
        <f>ROUND(I37*F39,0)</f>
        <v>0</v>
      </c>
    </row>
    <row r="40" spans="2:9" x14ac:dyDescent="0.25">
      <c r="E40" s="47"/>
      <c r="H40" s="10"/>
      <c r="I40" s="10"/>
    </row>
    <row r="41" spans="2:9" x14ac:dyDescent="0.25">
      <c r="B41" t="s">
        <v>109</v>
      </c>
      <c r="E41" s="47">
        <f>VLOOKUP($A$4,zone_lu,6)</f>
        <v>0.1</v>
      </c>
      <c r="H41" s="10">
        <f>ROUND(SUM(H37:H40)*E41,0)</f>
        <v>7173</v>
      </c>
      <c r="I41" s="10"/>
    </row>
    <row r="42" spans="2:9" x14ac:dyDescent="0.25">
      <c r="E42" s="47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H43" s="10">
        <f>ROUND(SUM(H37:H42)*E43,0)</f>
        <v>986</v>
      </c>
      <c r="I43" s="10"/>
    </row>
    <row r="44" spans="2:9" x14ac:dyDescent="0.25">
      <c r="E44" s="47"/>
      <c r="H44" s="10"/>
      <c r="I44" s="10"/>
    </row>
    <row r="45" spans="2:9" x14ac:dyDescent="0.25">
      <c r="B45" t="s">
        <v>111</v>
      </c>
      <c r="E45" s="47">
        <f>VLOOKUP($A$4,zone_lu,8)</f>
        <v>0.02</v>
      </c>
      <c r="H45" s="10">
        <f>ROUND(SUM(H37:H44)*E45,0)</f>
        <v>1598</v>
      </c>
      <c r="I45" s="10"/>
    </row>
    <row r="46" spans="2:9" x14ac:dyDescent="0.25">
      <c r="E46" s="19"/>
      <c r="H46" s="10"/>
    </row>
    <row r="47" spans="2:9" x14ac:dyDescent="0.25">
      <c r="H47" s="10">
        <f t="shared" si="0"/>
        <v>0</v>
      </c>
    </row>
    <row r="48" spans="2:9" ht="15.75" thickBot="1" x14ac:dyDescent="0.3">
      <c r="B48" s="33" t="s">
        <v>72</v>
      </c>
      <c r="C48" s="33"/>
      <c r="D48" s="33"/>
      <c r="E48" s="33"/>
      <c r="F48" s="45"/>
      <c r="G48" s="35"/>
      <c r="H48" s="34">
        <f>SUBTOTAL(9,H6:H47)</f>
        <v>81483</v>
      </c>
    </row>
    <row r="49" spans="8:8" ht="15.75" thickTop="1" x14ac:dyDescent="0.25">
      <c r="H49" s="10">
        <f t="shared" si="0"/>
        <v>0</v>
      </c>
    </row>
  </sheetData>
  <mergeCells count="1"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>
        <v>9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85</v>
      </c>
      <c r="H8" s="10">
        <f>E8*G8</f>
        <v>2040</v>
      </c>
    </row>
    <row r="9" spans="1:15" x14ac:dyDescent="0.25">
      <c r="D9" t="s">
        <v>59</v>
      </c>
      <c r="E9">
        <v>6</v>
      </c>
      <c r="F9" s="41" t="s">
        <v>60</v>
      </c>
      <c r="G9" s="9">
        <v>500</v>
      </c>
      <c r="H9" s="10">
        <f t="shared" ref="H9:H38" si="0">E9*G9</f>
        <v>3000</v>
      </c>
    </row>
    <row r="10" spans="1:15" x14ac:dyDescent="0.25">
      <c r="E10" s="11"/>
      <c r="F10" s="42"/>
      <c r="G10" s="12"/>
      <c r="H10" s="13">
        <f>SUBTOTAL(9,H6:H9)</f>
        <v>5040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6</v>
      </c>
      <c r="F14" s="41" t="s">
        <v>62</v>
      </c>
      <c r="G14" s="29">
        <v>1400</v>
      </c>
      <c r="H14" s="10">
        <f t="shared" si="0"/>
        <v>8400</v>
      </c>
    </row>
    <row r="15" spans="1:15" x14ac:dyDescent="0.25">
      <c r="D15" s="24" t="s">
        <v>183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6</v>
      </c>
      <c r="F16" s="41" t="s">
        <v>60</v>
      </c>
      <c r="G16" s="9">
        <v>250</v>
      </c>
      <c r="H16" s="10">
        <f t="shared" si="0"/>
        <v>1500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85</v>
      </c>
      <c r="H17" s="10">
        <f t="shared" si="0"/>
        <v>8160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6</v>
      </c>
      <c r="F19" s="41" t="s">
        <v>62</v>
      </c>
      <c r="G19" s="29">
        <v>3600</v>
      </c>
      <c r="H19" s="10">
        <f t="shared" si="0"/>
        <v>21600</v>
      </c>
    </row>
    <row r="20" spans="3:8" x14ac:dyDescent="0.25">
      <c r="D20" s="22" t="s">
        <v>76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f>4*16</f>
        <v>64</v>
      </c>
      <c r="F24" s="41" t="s">
        <v>58</v>
      </c>
      <c r="G24" s="9">
        <f>VLOOKUP($A$4,zone_lu,4)</f>
        <v>85</v>
      </c>
      <c r="H24" s="10">
        <f t="shared" si="0"/>
        <v>5440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6</v>
      </c>
      <c r="F28" s="41" t="s">
        <v>62</v>
      </c>
      <c r="G28" s="9">
        <v>95</v>
      </c>
      <c r="H28" s="10">
        <f t="shared" si="0"/>
        <v>570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/>
      <c r="G30" s="9"/>
      <c r="H30" s="39" t="s">
        <v>15</v>
      </c>
    </row>
    <row r="31" spans="3:8" x14ac:dyDescent="0.25">
      <c r="D31" t="s">
        <v>54</v>
      </c>
      <c r="E31">
        <v>32</v>
      </c>
      <c r="F31" s="41" t="s">
        <v>58</v>
      </c>
      <c r="G31" s="9">
        <f>VLOOKUP($A$4,zone_lu,4)</f>
        <v>85</v>
      </c>
      <c r="H31" s="10">
        <f t="shared" si="0"/>
        <v>2720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24</v>
      </c>
      <c r="F34" s="41" t="s">
        <v>58</v>
      </c>
      <c r="G34" s="9">
        <f>VLOOKUP($A$4,zone_lu,4)</f>
        <v>85</v>
      </c>
      <c r="H34" s="10">
        <f t="shared" si="0"/>
        <v>2040</v>
      </c>
    </row>
    <row r="35" spans="2:9" x14ac:dyDescent="0.25">
      <c r="E35" s="11"/>
      <c r="F35" s="42"/>
      <c r="G35" s="12"/>
      <c r="H35" s="13">
        <f>SUBTOTAL(9,H12:H34)</f>
        <v>59730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64770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9716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7449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1024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0.02</v>
      </c>
      <c r="F45" s="41"/>
      <c r="G45" s="9"/>
      <c r="H45" s="10">
        <f>ROUND(SUM(H37:H44)*E45,0)</f>
        <v>1659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84618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3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>
        <v>10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70</v>
      </c>
      <c r="H8" s="10">
        <f>E8*G8</f>
        <v>1680</v>
      </c>
    </row>
    <row r="9" spans="1:15" x14ac:dyDescent="0.25">
      <c r="D9" t="s">
        <v>59</v>
      </c>
      <c r="E9">
        <v>6</v>
      </c>
      <c r="F9" s="41" t="s">
        <v>60</v>
      </c>
      <c r="G9" s="9">
        <v>500</v>
      </c>
      <c r="H9" s="10">
        <f t="shared" ref="H9:H38" si="0">E9*G9</f>
        <v>3000</v>
      </c>
    </row>
    <row r="10" spans="1:15" x14ac:dyDescent="0.25">
      <c r="E10" s="11"/>
      <c r="F10" s="42"/>
      <c r="G10" s="12"/>
      <c r="H10" s="13">
        <f>SUBTOTAL(9,H6:H9)</f>
        <v>4680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6</v>
      </c>
      <c r="F14" s="41" t="s">
        <v>62</v>
      </c>
      <c r="G14" s="29">
        <v>1800</v>
      </c>
      <c r="H14" s="10">
        <f t="shared" si="0"/>
        <v>10800</v>
      </c>
    </row>
    <row r="15" spans="1:15" x14ac:dyDescent="0.25">
      <c r="D15" s="24" t="s">
        <v>183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6</v>
      </c>
      <c r="F16" s="41" t="s">
        <v>60</v>
      </c>
      <c r="G16" s="9">
        <v>250</v>
      </c>
      <c r="H16" s="10">
        <f t="shared" si="0"/>
        <v>1500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70</v>
      </c>
      <c r="H17" s="10">
        <f t="shared" si="0"/>
        <v>6720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6</v>
      </c>
      <c r="F19" s="41" t="s">
        <v>62</v>
      </c>
      <c r="G19" s="29">
        <v>4800</v>
      </c>
      <c r="H19" s="10">
        <f t="shared" si="0"/>
        <v>28800</v>
      </c>
    </row>
    <row r="20" spans="3:8" x14ac:dyDescent="0.25">
      <c r="D20" s="22" t="s">
        <v>77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f>4*16</f>
        <v>64</v>
      </c>
      <c r="F24" s="41" t="s">
        <v>58</v>
      </c>
      <c r="G24" s="9">
        <f>VLOOKUP($A$4,zone_lu,4)</f>
        <v>70</v>
      </c>
      <c r="H24" s="10">
        <f t="shared" si="0"/>
        <v>4480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6</v>
      </c>
      <c r="F28" s="41" t="s">
        <v>62</v>
      </c>
      <c r="G28" s="9">
        <v>95</v>
      </c>
      <c r="H28" s="10">
        <f t="shared" si="0"/>
        <v>570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/>
      <c r="G30" s="9"/>
      <c r="H30" s="39" t="s">
        <v>15</v>
      </c>
    </row>
    <row r="31" spans="3:8" x14ac:dyDescent="0.25">
      <c r="D31" t="s">
        <v>54</v>
      </c>
      <c r="E31">
        <v>32</v>
      </c>
      <c r="F31" s="41" t="s">
        <v>58</v>
      </c>
      <c r="G31" s="9">
        <f>VLOOKUP($A$4,zone_lu,4)</f>
        <v>70</v>
      </c>
      <c r="H31" s="10">
        <f t="shared" si="0"/>
        <v>2240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24</v>
      </c>
      <c r="F34" s="41" t="s">
        <v>58</v>
      </c>
      <c r="G34" s="9">
        <f>VLOOKUP($A$4,zone_lu,4)</f>
        <v>70</v>
      </c>
      <c r="H34" s="10">
        <f t="shared" si="0"/>
        <v>1680</v>
      </c>
    </row>
    <row r="35" spans="2:9" x14ac:dyDescent="0.25">
      <c r="E35" s="11"/>
      <c r="F35" s="42"/>
      <c r="G35" s="12"/>
      <c r="H35" s="13">
        <f>SUBTOTAL(9,H12:H34)</f>
        <v>66090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70770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10616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8139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1119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</v>
      </c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90644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5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>
        <v>12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65</v>
      </c>
      <c r="H8" s="10">
        <f>E8*G8</f>
        <v>1560</v>
      </c>
    </row>
    <row r="9" spans="1:15" x14ac:dyDescent="0.25">
      <c r="D9" t="s">
        <v>59</v>
      </c>
      <c r="E9">
        <v>6</v>
      </c>
      <c r="F9" s="41" t="s">
        <v>60</v>
      </c>
      <c r="G9" s="9">
        <v>500</v>
      </c>
      <c r="H9" s="10">
        <f t="shared" ref="H9:H38" si="0">E9*G9</f>
        <v>3000</v>
      </c>
    </row>
    <row r="10" spans="1:15" x14ac:dyDescent="0.25">
      <c r="E10" s="11"/>
      <c r="F10" s="42"/>
      <c r="G10" s="12"/>
      <c r="H10" s="13">
        <f>SUBTOTAL(9,H6:H9)</f>
        <v>4560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6</v>
      </c>
      <c r="F14" s="41" t="s">
        <v>62</v>
      </c>
      <c r="G14" s="29">
        <v>1600</v>
      </c>
      <c r="H14" s="10">
        <f t="shared" si="0"/>
        <v>9600</v>
      </c>
    </row>
    <row r="15" spans="1:15" x14ac:dyDescent="0.25">
      <c r="D15" s="24" t="s">
        <v>183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6</v>
      </c>
      <c r="F16" s="41" t="s">
        <v>60</v>
      </c>
      <c r="G16" s="9">
        <v>250</v>
      </c>
      <c r="H16" s="10">
        <f t="shared" si="0"/>
        <v>1500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65</v>
      </c>
      <c r="H17" s="10">
        <f t="shared" si="0"/>
        <v>6240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6</v>
      </c>
      <c r="F19" s="41" t="s">
        <v>62</v>
      </c>
      <c r="G19" s="29">
        <v>4800</v>
      </c>
      <c r="H19" s="10">
        <f t="shared" si="0"/>
        <v>28800</v>
      </c>
    </row>
    <row r="20" spans="3:8" x14ac:dyDescent="0.25">
      <c r="D20" s="22" t="s">
        <v>77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f>4*16</f>
        <v>64</v>
      </c>
      <c r="F24" s="41" t="s">
        <v>58</v>
      </c>
      <c r="G24" s="9">
        <f>VLOOKUP($A$4,zone_lu,4)</f>
        <v>65</v>
      </c>
      <c r="H24" s="10">
        <f t="shared" si="0"/>
        <v>4160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6</v>
      </c>
      <c r="F28" s="41" t="s">
        <v>62</v>
      </c>
      <c r="G28" s="9">
        <v>95</v>
      </c>
      <c r="H28" s="10">
        <f t="shared" si="0"/>
        <v>570</v>
      </c>
    </row>
    <row r="29" spans="3:8" x14ac:dyDescent="0.25">
      <c r="D29" t="s">
        <v>136</v>
      </c>
      <c r="F29" s="41"/>
      <c r="G29" s="9"/>
      <c r="H29" s="37" t="s">
        <v>118</v>
      </c>
    </row>
    <row r="30" spans="3:8" x14ac:dyDescent="0.25">
      <c r="D30" t="s">
        <v>137</v>
      </c>
      <c r="F30" s="41"/>
      <c r="G30" s="9"/>
      <c r="H30" s="37" t="s">
        <v>15</v>
      </c>
    </row>
    <row r="31" spans="3:8" x14ac:dyDescent="0.25">
      <c r="D31" t="s">
        <v>54</v>
      </c>
      <c r="E31">
        <v>32</v>
      </c>
      <c r="F31" s="41" t="s">
        <v>58</v>
      </c>
      <c r="G31" s="9">
        <f>VLOOKUP($A$4,zone_lu,4)</f>
        <v>65</v>
      </c>
      <c r="H31" s="10">
        <f t="shared" si="0"/>
        <v>2080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24</v>
      </c>
      <c r="F34" s="41" t="s">
        <v>58</v>
      </c>
      <c r="G34" s="9">
        <f>VLOOKUP($A$4,zone_lu,4)</f>
        <v>65</v>
      </c>
      <c r="H34" s="10">
        <f t="shared" si="0"/>
        <v>1560</v>
      </c>
    </row>
    <row r="35" spans="2:9" x14ac:dyDescent="0.25">
      <c r="E35" s="11"/>
      <c r="F35" s="42"/>
      <c r="G35" s="12"/>
      <c r="H35" s="13">
        <f>SUBTOTAL(9,H12:H34)</f>
        <v>63810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68370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10256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7863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1081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</v>
      </c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87570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7">
    <tabColor theme="5" tint="0.39997558519241921"/>
  </sheetPr>
  <dimension ref="A1:O49"/>
  <sheetViews>
    <sheetView showGridLines="0" workbookViewId="0">
      <selection activeCell="G19" sqref="G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48</v>
      </c>
      <c r="F8" s="41" t="s">
        <v>58</v>
      </c>
      <c r="G8" s="9">
        <f>VLOOKUP($A$4,zone_lu,4)</f>
        <v>95</v>
      </c>
      <c r="H8" s="10">
        <f>E8*G8</f>
        <v>4560</v>
      </c>
    </row>
    <row r="9" spans="1:15" x14ac:dyDescent="0.25">
      <c r="D9" t="s">
        <v>59</v>
      </c>
      <c r="E9">
        <v>8</v>
      </c>
      <c r="F9" s="41" t="s">
        <v>60</v>
      </c>
      <c r="G9" s="9">
        <v>500</v>
      </c>
      <c r="H9" s="10">
        <f t="shared" ref="H9:H39" si="0">E9*G9</f>
        <v>4000</v>
      </c>
    </row>
    <row r="10" spans="1:15" x14ac:dyDescent="0.25">
      <c r="E10" s="11"/>
      <c r="F10" s="42"/>
      <c r="G10" s="12"/>
      <c r="H10" s="13">
        <f>SUBTOTAL(9,H6:H9)</f>
        <v>8560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8</v>
      </c>
      <c r="F14" s="41" t="s">
        <v>62</v>
      </c>
      <c r="G14" s="29">
        <v>950</v>
      </c>
      <c r="H14" s="10">
        <f t="shared" si="0"/>
        <v>7600</v>
      </c>
    </row>
    <row r="15" spans="1:15" x14ac:dyDescent="0.25">
      <c r="D15" s="22" t="s">
        <v>88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95</v>
      </c>
      <c r="H17" s="10">
        <f t="shared" si="0"/>
        <v>9120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16</v>
      </c>
      <c r="F19" s="41" t="s">
        <v>62</v>
      </c>
      <c r="G19" s="29">
        <v>800</v>
      </c>
      <c r="H19" s="10">
        <f t="shared" si="0"/>
        <v>12800</v>
      </c>
    </row>
    <row r="20" spans="3:8" x14ac:dyDescent="0.25">
      <c r="D20" s="22" t="s">
        <v>89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200</v>
      </c>
      <c r="H23" s="10">
        <f t="shared" si="0"/>
        <v>1600</v>
      </c>
    </row>
    <row r="24" spans="3:8" x14ac:dyDescent="0.25">
      <c r="D24" t="s">
        <v>54</v>
      </c>
      <c r="E24">
        <v>32</v>
      </c>
      <c r="F24" s="41" t="s">
        <v>58</v>
      </c>
      <c r="G24" s="9">
        <f>VLOOKUP($A$4,zone_lu,4)</f>
        <v>95</v>
      </c>
      <c r="H24" s="10">
        <f t="shared" si="0"/>
        <v>3040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95</v>
      </c>
      <c r="H28" s="10">
        <f t="shared" si="0"/>
        <v>760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/>
      <c r="G30" s="9"/>
      <c r="H30" s="48" t="s">
        <v>15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95</v>
      </c>
      <c r="H31" s="10">
        <f t="shared" si="0"/>
        <v>9120</v>
      </c>
    </row>
    <row r="32" spans="3:8" x14ac:dyDescent="0.25">
      <c r="C32" s="23" t="s">
        <v>128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9" t="s">
        <v>118</v>
      </c>
    </row>
    <row r="34" spans="2:9" x14ac:dyDescent="0.25">
      <c r="D34" t="s">
        <v>129</v>
      </c>
      <c r="F34" s="41"/>
      <c r="G34" s="9"/>
      <c r="H34" s="39" t="s">
        <v>118</v>
      </c>
    </row>
    <row r="35" spans="2:9" x14ac:dyDescent="0.25">
      <c r="D35" t="s">
        <v>54</v>
      </c>
      <c r="F35" s="41"/>
      <c r="G35" s="9"/>
      <c r="H35" s="39" t="s">
        <v>118</v>
      </c>
    </row>
    <row r="36" spans="2:9" x14ac:dyDescent="0.25">
      <c r="E36" s="11"/>
      <c r="F36" s="42"/>
      <c r="G36" s="12"/>
      <c r="H36" s="13">
        <f>SUBTOTAL(9,H12:H35)</f>
        <v>49240</v>
      </c>
    </row>
    <row r="37" spans="2:9" x14ac:dyDescent="0.25">
      <c r="E37" s="16"/>
      <c r="F37" s="43"/>
      <c r="G37" s="17"/>
      <c r="H37" s="18"/>
    </row>
    <row r="38" spans="2:9" x14ac:dyDescent="0.25">
      <c r="B38" s="11"/>
      <c r="C38" s="11" t="s">
        <v>71</v>
      </c>
      <c r="D38" s="11"/>
      <c r="E38" s="11"/>
      <c r="F38" s="42"/>
      <c r="G38" s="12"/>
      <c r="H38" s="13">
        <f>SUBTOTAL(9,H6:H37)</f>
        <v>57800</v>
      </c>
    </row>
    <row r="39" spans="2:9" x14ac:dyDescent="0.25">
      <c r="E39" s="47"/>
      <c r="F39" s="41"/>
      <c r="G39" s="9"/>
      <c r="H39" s="10">
        <f t="shared" si="0"/>
        <v>0</v>
      </c>
    </row>
    <row r="40" spans="2:9" x14ac:dyDescent="0.25">
      <c r="B40" t="s">
        <v>110</v>
      </c>
      <c r="E40" s="47">
        <f>VLOOKUP($A$4,zone_lu,5)</f>
        <v>0.2</v>
      </c>
      <c r="F40" s="41"/>
      <c r="G40" s="9"/>
      <c r="H40" s="10">
        <f>ROUND(H38*E40,0)</f>
        <v>11560</v>
      </c>
      <c r="I40" s="10">
        <f>ROUND(I38*F40,0)</f>
        <v>0</v>
      </c>
    </row>
    <row r="41" spans="2:9" x14ac:dyDescent="0.25">
      <c r="E41" s="47"/>
      <c r="F41" s="41"/>
      <c r="G41" s="9"/>
      <c r="H41" s="10"/>
      <c r="I41" s="10"/>
    </row>
    <row r="42" spans="2:9" x14ac:dyDescent="0.25">
      <c r="B42" t="s">
        <v>109</v>
      </c>
      <c r="E42" s="47">
        <f>VLOOKUP($A$4,zone_lu,6)</f>
        <v>0.1</v>
      </c>
      <c r="F42" s="41"/>
      <c r="G42" s="9"/>
      <c r="H42" s="10">
        <f>ROUND(SUM(H38:H41)*E42,0)</f>
        <v>6936</v>
      </c>
      <c r="I42" s="10"/>
    </row>
    <row r="43" spans="2:9" x14ac:dyDescent="0.25">
      <c r="B43" t="s">
        <v>133</v>
      </c>
      <c r="E43" s="47"/>
      <c r="F43" s="41"/>
      <c r="G43" s="9"/>
      <c r="H43" s="10"/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E45" s="47">
        <f>VLOOKUP($A$4,zone_lu,8)</f>
        <v>0.08</v>
      </c>
      <c r="F45" s="41"/>
      <c r="G45" s="9"/>
      <c r="H45" s="10">
        <f>ROUND(SUM(H37:H44)*E45,0)</f>
        <v>6104</v>
      </c>
      <c r="I45" s="10"/>
    </row>
    <row r="46" spans="2:9" x14ac:dyDescent="0.25">
      <c r="B46" t="s">
        <v>111</v>
      </c>
      <c r="E46" s="19">
        <f>VLOOKUP($A$4,zone_lu,7)</f>
        <v>1.2500000000000001E-2</v>
      </c>
      <c r="F46" s="41"/>
      <c r="G46" s="9"/>
      <c r="H46" s="10">
        <f>ROUND(SUM(H38:H43)*E46,0)</f>
        <v>954</v>
      </c>
      <c r="I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83354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31">
    <tabColor theme="5" tint="0.39997558519241921"/>
  </sheetPr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>
        <v>4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48</v>
      </c>
      <c r="F8" s="41" t="s">
        <v>58</v>
      </c>
      <c r="G8" s="9">
        <f>VLOOKUP($A$4,zone_lu,4)</f>
        <v>95</v>
      </c>
      <c r="H8" s="10">
        <f>E8*G8</f>
        <v>4560</v>
      </c>
    </row>
    <row r="9" spans="1:15" x14ac:dyDescent="0.25">
      <c r="D9" t="s">
        <v>59</v>
      </c>
      <c r="E9">
        <v>8</v>
      </c>
      <c r="F9" s="41" t="s">
        <v>60</v>
      </c>
      <c r="G9" s="9">
        <v>500</v>
      </c>
      <c r="H9" s="10">
        <f t="shared" ref="H9:H39" si="0">E9*G9</f>
        <v>4000</v>
      </c>
    </row>
    <row r="10" spans="1:15" x14ac:dyDescent="0.25">
      <c r="E10" s="11"/>
      <c r="F10" s="42"/>
      <c r="G10" s="12"/>
      <c r="H10" s="13">
        <f>SUBTOTAL(9,H6:H9)</f>
        <v>8560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s="23" t="s">
        <v>61</v>
      </c>
      <c r="E14">
        <v>8</v>
      </c>
      <c r="F14" s="41" t="s">
        <v>62</v>
      </c>
      <c r="G14" s="29">
        <v>950</v>
      </c>
      <c r="H14" s="10">
        <f t="shared" si="0"/>
        <v>7600</v>
      </c>
    </row>
    <row r="15" spans="1:15" x14ac:dyDescent="0.25">
      <c r="D15" s="22" t="s">
        <v>88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95</v>
      </c>
      <c r="H17" s="10">
        <f t="shared" si="0"/>
        <v>9120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16</v>
      </c>
      <c r="F19" s="41" t="s">
        <v>62</v>
      </c>
      <c r="G19" s="29">
        <v>1200</v>
      </c>
      <c r="H19" s="10">
        <f t="shared" si="0"/>
        <v>19200</v>
      </c>
    </row>
    <row r="20" spans="3:8" x14ac:dyDescent="0.25">
      <c r="D20" s="22" t="s">
        <v>91</v>
      </c>
      <c r="F20" s="41"/>
      <c r="G20" s="9"/>
      <c r="H20" s="10">
        <f t="shared" si="0"/>
        <v>0</v>
      </c>
    </row>
    <row r="21" spans="3:8" x14ac:dyDescent="0.25">
      <c r="D21" s="25" t="s">
        <v>68</v>
      </c>
      <c r="F21" s="41"/>
      <c r="G21" s="9"/>
      <c r="H21" s="39" t="s">
        <v>118</v>
      </c>
    </row>
    <row r="22" spans="3:8" x14ac:dyDescent="0.25">
      <c r="D22" s="25" t="s">
        <v>120</v>
      </c>
      <c r="F22" s="41"/>
      <c r="G22" s="9"/>
      <c r="H22" s="39" t="s">
        <v>118</v>
      </c>
    </row>
    <row r="23" spans="3:8" x14ac:dyDescent="0.25">
      <c r="D23" s="23" t="s">
        <v>64</v>
      </c>
      <c r="E23">
        <v>8</v>
      </c>
      <c r="F23" s="41" t="s">
        <v>60</v>
      </c>
      <c r="G23" s="9">
        <v>200</v>
      </c>
      <c r="H23" s="10">
        <f t="shared" si="0"/>
        <v>1600</v>
      </c>
    </row>
    <row r="24" spans="3:8" x14ac:dyDescent="0.25">
      <c r="D24" s="23" t="s">
        <v>54</v>
      </c>
      <c r="E24">
        <v>32</v>
      </c>
      <c r="F24" s="41" t="s">
        <v>58</v>
      </c>
      <c r="G24" s="9">
        <f>VLOOKUP($A$4,zone_lu,4)</f>
        <v>95</v>
      </c>
      <c r="H24" s="10">
        <f t="shared" si="0"/>
        <v>3040</v>
      </c>
    </row>
    <row r="25" spans="3:8" x14ac:dyDescent="0.25">
      <c r="C25" t="s">
        <v>112</v>
      </c>
      <c r="D25" s="23"/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0"/>
        <v>1000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/>
      <c r="G30" s="9"/>
      <c r="H30" s="48" t="s">
        <v>15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95</v>
      </c>
      <c r="H31" s="10">
        <f t="shared" si="0"/>
        <v>9120</v>
      </c>
    </row>
    <row r="32" spans="3:8" x14ac:dyDescent="0.25">
      <c r="C32" s="23" t="s">
        <v>128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9" t="s">
        <v>118</v>
      </c>
    </row>
    <row r="34" spans="2:9" x14ac:dyDescent="0.25">
      <c r="D34" t="s">
        <v>129</v>
      </c>
      <c r="F34" s="41"/>
      <c r="G34" s="9"/>
      <c r="H34" s="39" t="s">
        <v>118</v>
      </c>
    </row>
    <row r="35" spans="2:9" x14ac:dyDescent="0.25">
      <c r="D35" t="s">
        <v>54</v>
      </c>
      <c r="F35" s="41"/>
      <c r="G35" s="9"/>
      <c r="H35" s="39" t="s">
        <v>118</v>
      </c>
    </row>
    <row r="36" spans="2:9" x14ac:dyDescent="0.25">
      <c r="E36" s="11"/>
      <c r="F36" s="42"/>
      <c r="G36" s="12"/>
      <c r="H36" s="13">
        <f>SUBTOTAL(9,H12:H35)</f>
        <v>55880</v>
      </c>
    </row>
    <row r="37" spans="2:9" x14ac:dyDescent="0.25">
      <c r="E37" s="16"/>
      <c r="F37" s="43"/>
      <c r="G37" s="17"/>
      <c r="H37" s="18"/>
    </row>
    <row r="38" spans="2:9" x14ac:dyDescent="0.25">
      <c r="B38" s="11"/>
      <c r="C38" s="11" t="s">
        <v>71</v>
      </c>
      <c r="D38" s="11"/>
      <c r="E38" s="11"/>
      <c r="F38" s="42"/>
      <c r="G38" s="12"/>
      <c r="H38" s="13">
        <f>SUBTOTAL(9,H6:H37)</f>
        <v>64440</v>
      </c>
    </row>
    <row r="39" spans="2:9" x14ac:dyDescent="0.25">
      <c r="E39" s="47"/>
      <c r="F39" s="41"/>
      <c r="G39" s="9"/>
      <c r="H39" s="10">
        <f t="shared" si="0"/>
        <v>0</v>
      </c>
    </row>
    <row r="40" spans="2:9" x14ac:dyDescent="0.25">
      <c r="B40" t="s">
        <v>110</v>
      </c>
      <c r="E40" s="47">
        <f>VLOOKUP($A$4,zone_lu,5)</f>
        <v>0.18</v>
      </c>
      <c r="F40" s="41"/>
      <c r="G40" s="9"/>
      <c r="H40" s="10">
        <f>ROUND(H38*E40,0)</f>
        <v>11599</v>
      </c>
      <c r="I40" s="10">
        <f>ROUND(I38*F40,0)</f>
        <v>0</v>
      </c>
    </row>
    <row r="41" spans="2:9" x14ac:dyDescent="0.25">
      <c r="E41" s="47"/>
      <c r="F41" s="41"/>
      <c r="G41" s="9"/>
      <c r="H41" s="10"/>
      <c r="I41" s="10"/>
    </row>
    <row r="42" spans="2:9" x14ac:dyDescent="0.25">
      <c r="B42" t="s">
        <v>109</v>
      </c>
      <c r="E42" s="47">
        <f>VLOOKUP($A$4,zone_lu,6)</f>
        <v>0.1</v>
      </c>
      <c r="F42" s="41"/>
      <c r="G42" s="9"/>
      <c r="H42" s="10">
        <f>ROUND(SUM(H38:H41)*E42,0)</f>
        <v>7604</v>
      </c>
      <c r="I42" s="10"/>
    </row>
    <row r="43" spans="2:9" x14ac:dyDescent="0.25">
      <c r="B43" t="s">
        <v>133</v>
      </c>
      <c r="E43" s="47"/>
      <c r="F43" s="41"/>
      <c r="G43" s="9"/>
      <c r="H43" s="10"/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E45" s="47">
        <f>VLOOKUP($A$4,zone_lu,8)</f>
        <v>0.05</v>
      </c>
      <c r="F45" s="41"/>
      <c r="G45" s="9"/>
      <c r="H45" s="10">
        <f>ROUND(SUM(H37:H44)*E45,0)</f>
        <v>4182</v>
      </c>
      <c r="I45" s="10"/>
    </row>
    <row r="46" spans="2:9" x14ac:dyDescent="0.25">
      <c r="B46" t="s">
        <v>111</v>
      </c>
      <c r="E46" s="19">
        <f>VLOOKUP($A$4,zone_lu,7)</f>
        <v>1.2500000000000001E-2</v>
      </c>
      <c r="F46" s="41"/>
      <c r="G46" s="9"/>
      <c r="H46" s="10">
        <f>ROUND(SUM(H38:H43)*E46,0)</f>
        <v>1046</v>
      </c>
      <c r="I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88871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9">
    <tabColor theme="5" tint="0.39997558519241921"/>
  </sheetPr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>
        <v>6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48</v>
      </c>
      <c r="F8" s="41" t="s">
        <v>58</v>
      </c>
      <c r="G8" s="9">
        <f>VLOOKUP($A$4,zone_lu,4)</f>
        <v>85</v>
      </c>
      <c r="H8" s="10">
        <f>E8*G8</f>
        <v>4080</v>
      </c>
    </row>
    <row r="9" spans="1:15" x14ac:dyDescent="0.25">
      <c r="D9" t="s">
        <v>59</v>
      </c>
      <c r="E9">
        <v>8</v>
      </c>
      <c r="F9" s="41" t="s">
        <v>60</v>
      </c>
      <c r="G9" s="9">
        <v>500</v>
      </c>
      <c r="H9" s="10">
        <f t="shared" ref="H9:H39" si="0">E9*G9</f>
        <v>4000</v>
      </c>
    </row>
    <row r="10" spans="1:15" x14ac:dyDescent="0.25">
      <c r="E10" s="11"/>
      <c r="F10" s="42"/>
      <c r="G10" s="12"/>
      <c r="H10" s="13">
        <f>SUBTOTAL(9,H6:H9)</f>
        <v>8080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8</v>
      </c>
      <c r="F14" s="41" t="s">
        <v>62</v>
      </c>
      <c r="G14" s="29">
        <v>950</v>
      </c>
      <c r="H14" s="10">
        <f t="shared" si="0"/>
        <v>7600</v>
      </c>
    </row>
    <row r="15" spans="1:15" x14ac:dyDescent="0.25">
      <c r="D15" s="22" t="s">
        <v>88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85</v>
      </c>
      <c r="H17" s="10">
        <f t="shared" si="0"/>
        <v>8160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16</v>
      </c>
      <c r="F19" s="41" t="s">
        <v>62</v>
      </c>
      <c r="G19" s="29">
        <v>1000</v>
      </c>
      <c r="H19" s="10">
        <f t="shared" si="0"/>
        <v>16000</v>
      </c>
    </row>
    <row r="20" spans="3:8" x14ac:dyDescent="0.25">
      <c r="D20" s="22" t="s">
        <v>92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200</v>
      </c>
      <c r="H23" s="10">
        <f t="shared" si="0"/>
        <v>1600</v>
      </c>
    </row>
    <row r="24" spans="3:8" x14ac:dyDescent="0.25">
      <c r="D24" t="s">
        <v>54</v>
      </c>
      <c r="E24">
        <v>32</v>
      </c>
      <c r="F24" s="41" t="s">
        <v>58</v>
      </c>
      <c r="G24" s="9">
        <f>VLOOKUP($A$4,zone_lu,4)</f>
        <v>85</v>
      </c>
      <c r="H24" s="10">
        <f t="shared" si="0"/>
        <v>2720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95</v>
      </c>
      <c r="H28" s="10">
        <f t="shared" si="0"/>
        <v>760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/>
      <c r="G30" s="9"/>
      <c r="H30" s="48" t="s">
        <v>15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85</v>
      </c>
      <c r="H31" s="10">
        <f t="shared" si="0"/>
        <v>8160</v>
      </c>
    </row>
    <row r="32" spans="3:8" x14ac:dyDescent="0.25">
      <c r="C32" s="23" t="s">
        <v>128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9" t="s">
        <v>118</v>
      </c>
    </row>
    <row r="34" spans="2:9" x14ac:dyDescent="0.25">
      <c r="D34" t="s">
        <v>129</v>
      </c>
      <c r="F34" s="41"/>
      <c r="G34" s="9"/>
      <c r="H34" s="39" t="s">
        <v>118</v>
      </c>
    </row>
    <row r="35" spans="2:9" x14ac:dyDescent="0.25">
      <c r="D35" t="s">
        <v>54</v>
      </c>
      <c r="F35" s="41"/>
      <c r="G35" s="9"/>
      <c r="H35" s="39" t="s">
        <v>118</v>
      </c>
    </row>
    <row r="36" spans="2:9" x14ac:dyDescent="0.25">
      <c r="E36" s="11"/>
      <c r="F36" s="42"/>
      <c r="G36" s="12"/>
      <c r="H36" s="13">
        <f>SUBTOTAL(9,H12:H35)</f>
        <v>50200</v>
      </c>
    </row>
    <row r="37" spans="2:9" x14ac:dyDescent="0.25">
      <c r="E37" s="16"/>
      <c r="F37" s="43"/>
      <c r="G37" s="17"/>
      <c r="H37" s="18"/>
    </row>
    <row r="38" spans="2:9" x14ac:dyDescent="0.25">
      <c r="B38" s="11"/>
      <c r="C38" s="11" t="s">
        <v>71</v>
      </c>
      <c r="D38" s="11"/>
      <c r="E38" s="11"/>
      <c r="F38" s="42"/>
      <c r="G38" s="12"/>
      <c r="H38" s="13">
        <f>SUBTOTAL(9,H6:H37)</f>
        <v>58280</v>
      </c>
    </row>
    <row r="39" spans="2:9" x14ac:dyDescent="0.25">
      <c r="E39" s="47"/>
      <c r="F39" s="41"/>
      <c r="G39" s="9"/>
      <c r="H39" s="10">
        <f t="shared" si="0"/>
        <v>0</v>
      </c>
    </row>
    <row r="40" spans="2:9" x14ac:dyDescent="0.25">
      <c r="B40" t="s">
        <v>110</v>
      </c>
      <c r="E40" s="47">
        <f>VLOOKUP($A$4,zone_lu,5)</f>
        <v>0.15</v>
      </c>
      <c r="F40" s="41"/>
      <c r="G40" s="9"/>
      <c r="H40" s="10">
        <f>ROUND(H38*E40,0)</f>
        <v>8742</v>
      </c>
      <c r="I40" s="10">
        <f>ROUND(I38*F40,0)</f>
        <v>0</v>
      </c>
    </row>
    <row r="41" spans="2:9" x14ac:dyDescent="0.25">
      <c r="E41" s="47"/>
      <c r="F41" s="41"/>
      <c r="G41" s="9"/>
      <c r="H41" s="10"/>
      <c r="I41" s="10"/>
    </row>
    <row r="42" spans="2:9" x14ac:dyDescent="0.25">
      <c r="B42" t="s">
        <v>109</v>
      </c>
      <c r="E42" s="47">
        <f>VLOOKUP($A$4,zone_lu,6)</f>
        <v>0.1</v>
      </c>
      <c r="F42" s="41"/>
      <c r="G42" s="9"/>
      <c r="H42" s="10">
        <f>ROUND(SUM(H38:H41)*E42,0)</f>
        <v>6702</v>
      </c>
      <c r="I42" s="10"/>
    </row>
    <row r="43" spans="2:9" x14ac:dyDescent="0.25">
      <c r="B43" t="s">
        <v>133</v>
      </c>
      <c r="E43" s="47"/>
      <c r="F43" s="41"/>
      <c r="G43" s="9"/>
      <c r="H43" s="10"/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E45" s="47">
        <f>VLOOKUP($A$4,zone_lu,8)</f>
        <v>0.02</v>
      </c>
      <c r="F45" s="41"/>
      <c r="G45" s="9"/>
      <c r="H45" s="10">
        <f>ROUND(SUM(H37:H44)*E45,0)</f>
        <v>1474</v>
      </c>
      <c r="I45" s="10"/>
    </row>
    <row r="46" spans="2:9" x14ac:dyDescent="0.25">
      <c r="B46" t="s">
        <v>111</v>
      </c>
      <c r="E46" s="19">
        <f>VLOOKUP($A$4,zone_lu,7)</f>
        <v>1.2500000000000001E-2</v>
      </c>
      <c r="F46" s="41"/>
      <c r="G46" s="9"/>
      <c r="H46" s="10">
        <f>ROUND(SUM(H38:H43)*E46,0)</f>
        <v>922</v>
      </c>
      <c r="I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76120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33">
    <tabColor theme="5" tint="0.39997558519241921"/>
  </sheetPr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>
        <v>9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48</v>
      </c>
      <c r="F8" s="41" t="s">
        <v>58</v>
      </c>
      <c r="G8" s="9">
        <f>VLOOKUP($A$4,zone_lu,4)</f>
        <v>85</v>
      </c>
      <c r="H8" s="10">
        <f>E8*G8</f>
        <v>4080</v>
      </c>
    </row>
    <row r="9" spans="1:15" x14ac:dyDescent="0.25">
      <c r="D9" t="s">
        <v>59</v>
      </c>
      <c r="E9">
        <v>8</v>
      </c>
      <c r="F9" s="41" t="s">
        <v>60</v>
      </c>
      <c r="G9" s="9">
        <v>500</v>
      </c>
      <c r="H9" s="10">
        <f t="shared" ref="H9:H39" si="0">E9*G9</f>
        <v>4000</v>
      </c>
    </row>
    <row r="10" spans="1:15" x14ac:dyDescent="0.25">
      <c r="E10" s="11"/>
      <c r="F10" s="42"/>
      <c r="G10" s="12"/>
      <c r="H10" s="13">
        <f>SUBTOTAL(9,H6:H9)</f>
        <v>8080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s="23" t="s">
        <v>61</v>
      </c>
      <c r="E14">
        <v>8</v>
      </c>
      <c r="F14" s="41" t="s">
        <v>62</v>
      </c>
      <c r="G14" s="29">
        <v>950</v>
      </c>
      <c r="H14" s="10">
        <f t="shared" si="0"/>
        <v>7600</v>
      </c>
    </row>
    <row r="15" spans="1:15" x14ac:dyDescent="0.25">
      <c r="D15" s="22" t="s">
        <v>88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85</v>
      </c>
      <c r="H17" s="10">
        <f t="shared" si="0"/>
        <v>8160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16</v>
      </c>
      <c r="F19" s="41" t="s">
        <v>62</v>
      </c>
      <c r="G19" s="29">
        <v>1200</v>
      </c>
      <c r="H19" s="10">
        <f t="shared" si="0"/>
        <v>19200</v>
      </c>
    </row>
    <row r="20" spans="3:8" x14ac:dyDescent="0.25">
      <c r="D20" s="22" t="s">
        <v>91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200</v>
      </c>
      <c r="H23" s="10">
        <f t="shared" si="0"/>
        <v>1600</v>
      </c>
    </row>
    <row r="24" spans="3:8" x14ac:dyDescent="0.25">
      <c r="D24" t="s">
        <v>54</v>
      </c>
      <c r="E24">
        <v>32</v>
      </c>
      <c r="F24" s="41" t="s">
        <v>58</v>
      </c>
      <c r="G24" s="9">
        <f>VLOOKUP($A$4,zone_lu,4)</f>
        <v>85</v>
      </c>
      <c r="H24" s="10">
        <f t="shared" si="0"/>
        <v>2720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0"/>
        <v>1000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/>
      <c r="G30" s="9"/>
      <c r="H30" s="48" t="s">
        <v>15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85</v>
      </c>
      <c r="H31" s="10">
        <f t="shared" si="0"/>
        <v>8160</v>
      </c>
    </row>
    <row r="32" spans="3:8" x14ac:dyDescent="0.25">
      <c r="C32" s="23" t="s">
        <v>128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9" t="s">
        <v>118</v>
      </c>
    </row>
    <row r="34" spans="2:9" x14ac:dyDescent="0.25">
      <c r="D34" t="s">
        <v>129</v>
      </c>
      <c r="F34" s="41"/>
      <c r="G34" s="9"/>
      <c r="H34" s="39" t="s">
        <v>118</v>
      </c>
    </row>
    <row r="35" spans="2:9" x14ac:dyDescent="0.25">
      <c r="D35" t="s">
        <v>54</v>
      </c>
      <c r="F35" s="41"/>
      <c r="G35" s="9"/>
      <c r="H35" s="39" t="s">
        <v>118</v>
      </c>
    </row>
    <row r="36" spans="2:9" x14ac:dyDescent="0.25">
      <c r="E36" s="11"/>
      <c r="F36" s="42"/>
      <c r="G36" s="12"/>
      <c r="H36" s="13">
        <f>SUBTOTAL(9,H12:H35)</f>
        <v>53640</v>
      </c>
    </row>
    <row r="37" spans="2:9" x14ac:dyDescent="0.25">
      <c r="E37" s="16"/>
      <c r="F37" s="43"/>
      <c r="G37" s="17"/>
      <c r="H37" s="18"/>
    </row>
    <row r="38" spans="2:9" x14ac:dyDescent="0.25">
      <c r="B38" s="11"/>
      <c r="C38" s="11" t="s">
        <v>71</v>
      </c>
      <c r="D38" s="11"/>
      <c r="E38" s="11"/>
      <c r="F38" s="42"/>
      <c r="G38" s="12"/>
      <c r="H38" s="13">
        <f>SUBTOTAL(9,H6:H37)</f>
        <v>61720</v>
      </c>
    </row>
    <row r="39" spans="2:9" x14ac:dyDescent="0.25">
      <c r="E39" s="47"/>
      <c r="F39" s="41"/>
      <c r="G39" s="9"/>
      <c r="H39" s="10">
        <f t="shared" si="0"/>
        <v>0</v>
      </c>
    </row>
    <row r="40" spans="2:9" x14ac:dyDescent="0.25">
      <c r="B40" t="s">
        <v>110</v>
      </c>
      <c r="E40" s="47">
        <f>VLOOKUP($A$4,zone_lu,5)</f>
        <v>0.15</v>
      </c>
      <c r="F40" s="41"/>
      <c r="G40" s="9"/>
      <c r="H40" s="10">
        <f>ROUND(H38*E40,0)</f>
        <v>9258</v>
      </c>
      <c r="I40" s="10">
        <f>ROUND(I38*F40,0)</f>
        <v>0</v>
      </c>
    </row>
    <row r="41" spans="2:9" x14ac:dyDescent="0.25">
      <c r="E41" s="47"/>
      <c r="F41" s="41"/>
      <c r="G41" s="9"/>
      <c r="H41" s="10"/>
      <c r="I41" s="10"/>
    </row>
    <row r="42" spans="2:9" x14ac:dyDescent="0.25">
      <c r="B42" t="s">
        <v>109</v>
      </c>
      <c r="E42" s="47">
        <f>VLOOKUP($A$4,zone_lu,6)</f>
        <v>0.1</v>
      </c>
      <c r="F42" s="41"/>
      <c r="G42" s="9"/>
      <c r="H42" s="10">
        <f>ROUND(SUM(H38:H41)*E42,0)</f>
        <v>7098</v>
      </c>
      <c r="I42" s="10"/>
    </row>
    <row r="43" spans="2:9" x14ac:dyDescent="0.25">
      <c r="B43" t="s">
        <v>133</v>
      </c>
      <c r="E43" s="47"/>
      <c r="F43" s="41"/>
      <c r="G43" s="9"/>
      <c r="H43" s="10"/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E45" s="47">
        <f>VLOOKUP($A$4,zone_lu,8)</f>
        <v>0.02</v>
      </c>
      <c r="F45" s="41"/>
      <c r="G45" s="9"/>
      <c r="H45" s="10">
        <f>ROUND(SUM(H37:H44)*E45,0)</f>
        <v>1562</v>
      </c>
      <c r="I45" s="10"/>
    </row>
    <row r="46" spans="2:9" x14ac:dyDescent="0.25">
      <c r="B46" t="s">
        <v>111</v>
      </c>
      <c r="E46" s="19">
        <f>VLOOKUP($A$4,zone_lu,7)</f>
        <v>1.2500000000000001E-2</v>
      </c>
      <c r="F46" s="41"/>
      <c r="G46" s="9"/>
      <c r="H46" s="10">
        <f>ROUND(SUM(H38:H43)*E46,0)</f>
        <v>976</v>
      </c>
      <c r="I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80614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35"/>
  <dimension ref="A1:O49"/>
  <sheetViews>
    <sheetView showGridLines="0" workbookViewId="0">
      <selection activeCell="Q44" sqref="Q44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>
        <v>10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48</v>
      </c>
      <c r="F8" s="41" t="s">
        <v>58</v>
      </c>
      <c r="G8" s="9">
        <f>VLOOKUP($A$4,zone_lu,4)</f>
        <v>70</v>
      </c>
      <c r="H8" s="10">
        <f>E8*G8</f>
        <v>3360</v>
      </c>
    </row>
    <row r="9" spans="1:15" x14ac:dyDescent="0.25">
      <c r="D9" t="s">
        <v>59</v>
      </c>
      <c r="E9">
        <v>8</v>
      </c>
      <c r="F9" s="41" t="s">
        <v>60</v>
      </c>
      <c r="G9" s="9">
        <v>500</v>
      </c>
      <c r="H9" s="10">
        <f t="shared" ref="H9:H38" si="0">E9*G9</f>
        <v>4000</v>
      </c>
    </row>
    <row r="10" spans="1:15" x14ac:dyDescent="0.25">
      <c r="E10" s="11"/>
      <c r="F10" s="42"/>
      <c r="G10" s="12"/>
      <c r="H10" s="13">
        <f>SUBTOTAL(9,H6:H9)</f>
        <v>7360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s="23" t="s">
        <v>61</v>
      </c>
      <c r="E14">
        <v>8</v>
      </c>
      <c r="F14" s="41" t="s">
        <v>62</v>
      </c>
      <c r="G14" s="29">
        <v>950</v>
      </c>
      <c r="H14" s="10">
        <f t="shared" si="0"/>
        <v>7600</v>
      </c>
    </row>
    <row r="15" spans="1:15" x14ac:dyDescent="0.25">
      <c r="D15" s="22" t="s">
        <v>88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70</v>
      </c>
      <c r="H17" s="10">
        <f t="shared" si="0"/>
        <v>6720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16</v>
      </c>
      <c r="F19" s="41" t="s">
        <v>62</v>
      </c>
      <c r="G19" s="29">
        <v>1400</v>
      </c>
      <c r="H19" s="10">
        <f t="shared" si="0"/>
        <v>22400</v>
      </c>
    </row>
    <row r="20" spans="3:8" x14ac:dyDescent="0.25">
      <c r="D20" s="22" t="s">
        <v>94</v>
      </c>
      <c r="F20" s="41"/>
      <c r="G20" s="9"/>
      <c r="H20" s="10">
        <f t="shared" si="0"/>
        <v>0</v>
      </c>
    </row>
    <row r="21" spans="3:8" x14ac:dyDescent="0.25">
      <c r="D21" s="2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200</v>
      </c>
      <c r="H23" s="10">
        <f t="shared" si="0"/>
        <v>1600</v>
      </c>
    </row>
    <row r="24" spans="3:8" x14ac:dyDescent="0.25">
      <c r="D24" t="s">
        <v>54</v>
      </c>
      <c r="E24">
        <v>32</v>
      </c>
      <c r="F24" s="41" t="s">
        <v>58</v>
      </c>
      <c r="G24" s="9">
        <f>VLOOKUP($A$4,zone_lu,4)</f>
        <v>70</v>
      </c>
      <c r="H24" s="10">
        <f t="shared" si="0"/>
        <v>2240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0"/>
        <v>1000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/>
      <c r="G30" s="9"/>
      <c r="H30" s="48" t="s">
        <v>15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70</v>
      </c>
      <c r="H31" s="10">
        <f t="shared" si="0"/>
        <v>6720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F33" s="41"/>
      <c r="G33" s="9"/>
      <c r="H33" s="39" t="s">
        <v>118</v>
      </c>
    </row>
    <row r="34" spans="2:9" x14ac:dyDescent="0.25">
      <c r="D34" t="s">
        <v>54</v>
      </c>
      <c r="F34" s="41"/>
      <c r="G34" s="9"/>
      <c r="H34" s="39" t="s">
        <v>118</v>
      </c>
    </row>
    <row r="35" spans="2:9" x14ac:dyDescent="0.25">
      <c r="F35" s="41"/>
      <c r="G35" s="9"/>
      <c r="H35" s="39" t="s">
        <v>118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60840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9126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6997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962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</v>
      </c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77925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9"/>
  <sheetViews>
    <sheetView workbookViewId="0">
      <selection activeCell="E4" sqref="E4:E9"/>
    </sheetView>
  </sheetViews>
  <sheetFormatPr defaultRowHeight="15" x14ac:dyDescent="0.25"/>
  <cols>
    <col min="3" max="3" width="39" customWidth="1"/>
  </cols>
  <sheetData>
    <row r="3" spans="2:9" x14ac:dyDescent="0.25">
      <c r="B3" t="s">
        <v>99</v>
      </c>
      <c r="E3" t="s">
        <v>54</v>
      </c>
      <c r="F3" t="s">
        <v>106</v>
      </c>
      <c r="G3" t="s">
        <v>116</v>
      </c>
      <c r="H3" t="s">
        <v>132</v>
      </c>
      <c r="I3" t="s">
        <v>107</v>
      </c>
    </row>
    <row r="4" spans="2:9" x14ac:dyDescent="0.25">
      <c r="B4">
        <v>3</v>
      </c>
      <c r="C4" t="s">
        <v>100</v>
      </c>
      <c r="E4">
        <v>95</v>
      </c>
      <c r="F4" s="19">
        <v>0.2</v>
      </c>
      <c r="G4" s="19">
        <v>0.1</v>
      </c>
      <c r="H4" s="47">
        <v>1.2500000000000001E-2</v>
      </c>
      <c r="I4" s="19">
        <v>0.08</v>
      </c>
    </row>
    <row r="5" spans="2:9" x14ac:dyDescent="0.25">
      <c r="B5">
        <v>4</v>
      </c>
      <c r="C5" t="s">
        <v>101</v>
      </c>
      <c r="E5">
        <v>95</v>
      </c>
      <c r="F5" s="19">
        <v>0.18</v>
      </c>
      <c r="G5" s="19">
        <v>0.1</v>
      </c>
      <c r="H5" s="47">
        <v>1.2500000000000001E-2</v>
      </c>
      <c r="I5" s="19">
        <v>0.05</v>
      </c>
    </row>
    <row r="6" spans="2:9" x14ac:dyDescent="0.25">
      <c r="B6">
        <v>6</v>
      </c>
      <c r="C6" t="s">
        <v>102</v>
      </c>
      <c r="E6">
        <v>85</v>
      </c>
      <c r="F6" s="19">
        <v>0.15</v>
      </c>
      <c r="G6" s="19">
        <v>0.1</v>
      </c>
      <c r="H6" s="47">
        <v>1.2500000000000001E-2</v>
      </c>
      <c r="I6" s="19">
        <v>0.02</v>
      </c>
    </row>
    <row r="7" spans="2:9" x14ac:dyDescent="0.25">
      <c r="B7">
        <v>9</v>
      </c>
      <c r="C7" t="s">
        <v>103</v>
      </c>
      <c r="E7">
        <v>85</v>
      </c>
      <c r="F7" s="19">
        <v>0.15</v>
      </c>
      <c r="G7" s="19">
        <v>0.1</v>
      </c>
      <c r="H7" s="47">
        <v>1.2500000000000001E-2</v>
      </c>
      <c r="I7" s="19">
        <v>0.02</v>
      </c>
    </row>
    <row r="8" spans="2:9" x14ac:dyDescent="0.25">
      <c r="B8">
        <v>10</v>
      </c>
      <c r="C8" t="s">
        <v>104</v>
      </c>
      <c r="E8">
        <v>70</v>
      </c>
      <c r="F8" s="19">
        <v>0.15</v>
      </c>
      <c r="G8" s="19">
        <v>0.1</v>
      </c>
      <c r="H8" s="47">
        <v>1.2500000000000001E-2</v>
      </c>
      <c r="I8" s="19">
        <v>0</v>
      </c>
    </row>
    <row r="9" spans="2:9" x14ac:dyDescent="0.25">
      <c r="B9">
        <v>12</v>
      </c>
      <c r="C9" t="s">
        <v>105</v>
      </c>
      <c r="E9">
        <v>65</v>
      </c>
      <c r="F9" s="19">
        <v>0.15</v>
      </c>
      <c r="G9" s="19">
        <v>0.1</v>
      </c>
      <c r="H9" s="47">
        <v>1.2500000000000001E-2</v>
      </c>
      <c r="I9" s="19"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7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>
        <v>12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48</v>
      </c>
      <c r="F8" s="41" t="s">
        <v>58</v>
      </c>
      <c r="G8" s="9">
        <f>VLOOKUP($A$4,zone_lu,4)</f>
        <v>65</v>
      </c>
      <c r="H8" s="10">
        <f>E8*G8</f>
        <v>3120</v>
      </c>
    </row>
    <row r="9" spans="1:15" x14ac:dyDescent="0.25">
      <c r="D9" t="s">
        <v>59</v>
      </c>
      <c r="E9">
        <v>8</v>
      </c>
      <c r="F9" s="41" t="s">
        <v>60</v>
      </c>
      <c r="G9" s="9">
        <v>500</v>
      </c>
      <c r="H9" s="10">
        <f t="shared" ref="H9:H38" si="0">E9*G9</f>
        <v>4000</v>
      </c>
    </row>
    <row r="10" spans="1:15" x14ac:dyDescent="0.25">
      <c r="E10" s="11"/>
      <c r="F10" s="42"/>
      <c r="G10" s="12"/>
      <c r="H10" s="13">
        <f>SUBTOTAL(9,H6:H9)</f>
        <v>7120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8</v>
      </c>
      <c r="F14" s="41" t="s">
        <v>62</v>
      </c>
      <c r="G14" s="29">
        <v>950</v>
      </c>
      <c r="H14" s="10">
        <f t="shared" si="0"/>
        <v>7600</v>
      </c>
    </row>
    <row r="15" spans="1:15" x14ac:dyDescent="0.25">
      <c r="D15" s="22" t="s">
        <v>88</v>
      </c>
      <c r="F15" s="41"/>
      <c r="G15" s="9"/>
      <c r="H15" s="10">
        <f t="shared" si="0"/>
        <v>0</v>
      </c>
    </row>
    <row r="16" spans="1:15" x14ac:dyDescent="0.25">
      <c r="D16" s="23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s="23" t="s">
        <v>54</v>
      </c>
      <c r="E17">
        <v>96</v>
      </c>
      <c r="F17" s="41" t="s">
        <v>58</v>
      </c>
      <c r="G17" s="9">
        <f>VLOOKUP($A$4,zone_lu,4)</f>
        <v>65</v>
      </c>
      <c r="H17" s="10">
        <f t="shared" si="0"/>
        <v>6240</v>
      </c>
    </row>
    <row r="18" spans="3:8" x14ac:dyDescent="0.25">
      <c r="C18" t="s">
        <v>52</v>
      </c>
      <c r="D18" s="23"/>
      <c r="F18" s="41"/>
      <c r="G18" s="9"/>
      <c r="H18" s="10">
        <f t="shared" si="0"/>
        <v>0</v>
      </c>
    </row>
    <row r="19" spans="3:8" x14ac:dyDescent="0.25">
      <c r="D19" s="23" t="s">
        <v>66</v>
      </c>
      <c r="E19">
        <v>16</v>
      </c>
      <c r="F19" s="41" t="s">
        <v>62</v>
      </c>
      <c r="G19" s="29">
        <v>1400</v>
      </c>
      <c r="H19" s="10">
        <f t="shared" si="0"/>
        <v>22400</v>
      </c>
    </row>
    <row r="20" spans="3:8" x14ac:dyDescent="0.25">
      <c r="D20" s="22" t="s">
        <v>94</v>
      </c>
      <c r="F20" s="41"/>
      <c r="G20" s="9"/>
      <c r="H20" s="10">
        <f t="shared" si="0"/>
        <v>0</v>
      </c>
    </row>
    <row r="21" spans="3:8" x14ac:dyDescent="0.25">
      <c r="D21" s="25" t="s">
        <v>68</v>
      </c>
      <c r="F21" s="41"/>
      <c r="G21" s="9"/>
      <c r="H21" s="39" t="s">
        <v>118</v>
      </c>
    </row>
    <row r="22" spans="3:8" x14ac:dyDescent="0.25">
      <c r="D22" s="2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200</v>
      </c>
      <c r="H23" s="10">
        <f t="shared" si="0"/>
        <v>1600</v>
      </c>
    </row>
    <row r="24" spans="3:8" x14ac:dyDescent="0.25">
      <c r="D24" t="s">
        <v>54</v>
      </c>
      <c r="E24">
        <v>32</v>
      </c>
      <c r="F24" s="41" t="s">
        <v>58</v>
      </c>
      <c r="G24" s="9">
        <f>VLOOKUP($A$4,zone_lu,4)</f>
        <v>65</v>
      </c>
      <c r="H24" s="10">
        <f t="shared" si="0"/>
        <v>2080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0"/>
        <v>1000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/>
      <c r="G30" s="9"/>
      <c r="H30" s="48" t="s">
        <v>15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65</v>
      </c>
      <c r="H31" s="10">
        <f t="shared" si="0"/>
        <v>6240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F33" s="41"/>
      <c r="G33" s="9"/>
      <c r="H33" s="39" t="s">
        <v>118</v>
      </c>
    </row>
    <row r="34" spans="2:9" x14ac:dyDescent="0.25">
      <c r="D34" t="s">
        <v>54</v>
      </c>
      <c r="F34" s="41"/>
      <c r="G34" s="9"/>
      <c r="H34" s="39" t="s">
        <v>118</v>
      </c>
    </row>
    <row r="35" spans="2:9" x14ac:dyDescent="0.25">
      <c r="F35" s="41"/>
      <c r="G35" s="9"/>
      <c r="H35" s="39" t="s">
        <v>118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59480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8922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6840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941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</v>
      </c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76183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4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  <c r="F3" s="41"/>
      <c r="G3" s="9"/>
      <c r="H3" s="8"/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6" t="s">
        <v>122</v>
      </c>
    </row>
    <row r="8" spans="1:15" x14ac:dyDescent="0.25">
      <c r="D8" t="s">
        <v>54</v>
      </c>
      <c r="F8" s="41"/>
      <c r="G8" s="10"/>
      <c r="H8" s="10"/>
    </row>
    <row r="9" spans="1:15" x14ac:dyDescent="0.25">
      <c r="D9" t="s">
        <v>59</v>
      </c>
      <c r="F9" s="41"/>
      <c r="G9" s="10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14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4800</v>
      </c>
      <c r="H19" s="10">
        <f t="shared" si="0"/>
        <v>38400</v>
      </c>
    </row>
    <row r="20" spans="3:8" ht="30" customHeight="1" x14ac:dyDescent="0.25">
      <c r="D20" s="24" t="s">
        <v>74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10">
        <f>VLOOKUP($A$4,zone_lu,4)</f>
        <v>95</v>
      </c>
      <c r="H24" s="10">
        <f t="shared" si="0"/>
        <v>9120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65</v>
      </c>
      <c r="H28" s="10">
        <f t="shared" si="0"/>
        <v>1040</v>
      </c>
    </row>
    <row r="29" spans="3:8" x14ac:dyDescent="0.25">
      <c r="D29" t="s">
        <v>136</v>
      </c>
      <c r="F29" s="41"/>
      <c r="G29" s="9"/>
      <c r="H29" s="36" t="s">
        <v>122</v>
      </c>
    </row>
    <row r="30" spans="3:8" x14ac:dyDescent="0.25">
      <c r="D30" t="s">
        <v>137</v>
      </c>
      <c r="F30" s="41"/>
      <c r="G30" s="9"/>
      <c r="H30" s="36" t="s">
        <v>122</v>
      </c>
    </row>
    <row r="31" spans="3:8" x14ac:dyDescent="0.25">
      <c r="D31" t="s">
        <v>54</v>
      </c>
      <c r="E31">
        <f>8*6</f>
        <v>48</v>
      </c>
      <c r="F31" s="41" t="s">
        <v>58</v>
      </c>
      <c r="G31" s="10">
        <f>VLOOKUP($A$4,zone_lu,4)</f>
        <v>95</v>
      </c>
      <c r="H31" s="10">
        <f t="shared" si="0"/>
        <v>4560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6" t="s">
        <v>138</v>
      </c>
    </row>
    <row r="34" spans="2:9" x14ac:dyDescent="0.25">
      <c r="D34" t="s">
        <v>54</v>
      </c>
      <c r="F34" s="41"/>
      <c r="G34" s="9"/>
      <c r="H34" s="36" t="s">
        <v>138</v>
      </c>
    </row>
    <row r="35" spans="2:9" x14ac:dyDescent="0.25">
      <c r="E35" s="11"/>
      <c r="F35" s="42"/>
      <c r="G35" s="12"/>
      <c r="H35" s="13">
        <f>SUBTOTAL(9,H12:H34)</f>
        <v>63520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63520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0.12</v>
      </c>
      <c r="F39" s="41"/>
      <c r="G39" s="9"/>
      <c r="H39" s="10">
        <f>ROUND(H37*E39,0)</f>
        <v>7622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2846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925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74913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11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  <c r="F3" s="41"/>
      <c r="G3" s="9"/>
      <c r="H3" s="8"/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122</v>
      </c>
    </row>
    <row r="8" spans="1:15" x14ac:dyDescent="0.25">
      <c r="D8" t="s">
        <v>54</v>
      </c>
      <c r="F8" s="41"/>
      <c r="G8" s="10"/>
      <c r="H8" s="10"/>
    </row>
    <row r="9" spans="1:15" x14ac:dyDescent="0.25">
      <c r="D9" t="s">
        <v>59</v>
      </c>
      <c r="F9" s="41"/>
      <c r="G9" s="10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14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4500</v>
      </c>
      <c r="H19" s="10">
        <f t="shared" si="0"/>
        <v>36000</v>
      </c>
    </row>
    <row r="20" spans="3:8" ht="45" x14ac:dyDescent="0.25">
      <c r="D20" s="24" t="s">
        <v>96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10">
        <f>VLOOKUP($A$4,zone_lu,4)</f>
        <v>95</v>
      </c>
      <c r="H24" s="10">
        <f t="shared" si="0"/>
        <v>9120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65</v>
      </c>
      <c r="H28" s="10">
        <f t="shared" si="0"/>
        <v>1040</v>
      </c>
    </row>
    <row r="29" spans="3:8" x14ac:dyDescent="0.25">
      <c r="D29" t="s">
        <v>136</v>
      </c>
      <c r="F29" s="41"/>
      <c r="G29" s="9"/>
      <c r="H29" s="38" t="s">
        <v>122</v>
      </c>
    </row>
    <row r="30" spans="3:8" x14ac:dyDescent="0.25">
      <c r="D30" t="s">
        <v>137</v>
      </c>
      <c r="F30" s="41"/>
      <c r="G30" s="9"/>
      <c r="H30" s="38" t="s">
        <v>122</v>
      </c>
    </row>
    <row r="31" spans="3:8" x14ac:dyDescent="0.25">
      <c r="D31" t="s">
        <v>54</v>
      </c>
      <c r="E31">
        <f>8*6</f>
        <v>48</v>
      </c>
      <c r="F31" s="41" t="s">
        <v>58</v>
      </c>
      <c r="G31" s="10">
        <f>VLOOKUP($A$4,zone_lu,4)</f>
        <v>95</v>
      </c>
      <c r="H31" s="10">
        <f t="shared" si="0"/>
        <v>4560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61120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61120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0.12</v>
      </c>
      <c r="F39" s="41"/>
      <c r="G39" s="9"/>
      <c r="H39" s="10">
        <f>ROUND(H37*E39,0)</f>
        <v>7334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2738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890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72082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12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  <c r="F3" s="41"/>
      <c r="G3" s="9"/>
      <c r="H3" s="8"/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122</v>
      </c>
    </row>
    <row r="8" spans="1:15" x14ac:dyDescent="0.25">
      <c r="D8" t="s">
        <v>54</v>
      </c>
      <c r="F8" s="41"/>
      <c r="G8" s="10"/>
      <c r="H8" s="10"/>
    </row>
    <row r="9" spans="1:15" x14ac:dyDescent="0.25">
      <c r="D9" t="s">
        <v>59</v>
      </c>
      <c r="F9" s="41"/>
      <c r="G9" s="10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14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6500</v>
      </c>
      <c r="H19" s="10">
        <f t="shared" si="0"/>
        <v>52000</v>
      </c>
    </row>
    <row r="20" spans="3:8" ht="45" x14ac:dyDescent="0.25">
      <c r="D20" s="24" t="s">
        <v>97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10">
        <f>VLOOKUP($A$4,zone_lu,4)</f>
        <v>95</v>
      </c>
      <c r="H24" s="10">
        <f t="shared" si="0"/>
        <v>9120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65</v>
      </c>
      <c r="H28" s="10">
        <f t="shared" si="0"/>
        <v>1040</v>
      </c>
    </row>
    <row r="29" spans="3:8" x14ac:dyDescent="0.25">
      <c r="D29" t="s">
        <v>136</v>
      </c>
      <c r="F29" s="41"/>
      <c r="G29" s="9"/>
      <c r="H29" s="38" t="s">
        <v>122</v>
      </c>
    </row>
    <row r="30" spans="3:8" x14ac:dyDescent="0.25">
      <c r="D30" t="s">
        <v>137</v>
      </c>
      <c r="F30" s="41"/>
      <c r="G30" s="9"/>
      <c r="H30" s="38" t="s">
        <v>122</v>
      </c>
    </row>
    <row r="31" spans="3:8" x14ac:dyDescent="0.25">
      <c r="D31" t="s">
        <v>54</v>
      </c>
      <c r="E31">
        <f>8*6</f>
        <v>48</v>
      </c>
      <c r="F31" s="41" t="s">
        <v>58</v>
      </c>
      <c r="G31" s="10">
        <f>VLOOKUP($A$4,zone_lu,4)</f>
        <v>95</v>
      </c>
      <c r="H31" s="10">
        <f t="shared" si="0"/>
        <v>4560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77120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77120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0.12</v>
      </c>
      <c r="F39" s="41"/>
      <c r="G39" s="9"/>
      <c r="H39" s="10">
        <f>ROUND(H37*E39,0)</f>
        <v>9254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3455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1123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90952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6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>
        <v>4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122</v>
      </c>
    </row>
    <row r="8" spans="1:15" x14ac:dyDescent="0.25">
      <c r="D8" t="s">
        <v>54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9"/>
      <c r="H14" s="10"/>
    </row>
    <row r="15" spans="1:15" x14ac:dyDescent="0.25">
      <c r="D15" s="14" t="s">
        <v>73</v>
      </c>
      <c r="F15" s="41"/>
      <c r="G15" s="29"/>
      <c r="H15" s="10"/>
    </row>
    <row r="16" spans="1:15" x14ac:dyDescent="0.25">
      <c r="D16" t="s">
        <v>64</v>
      </c>
      <c r="F16" s="41"/>
      <c r="G16" s="29"/>
      <c r="H16" s="10"/>
    </row>
    <row r="17" spans="3:8" x14ac:dyDescent="0.25">
      <c r="D17" t="s">
        <v>54</v>
      </c>
      <c r="F17" s="41"/>
      <c r="G17" s="9"/>
      <c r="H17" s="10"/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4800</v>
      </c>
      <c r="H19" s="10">
        <f t="shared" si="0"/>
        <v>38400</v>
      </c>
    </row>
    <row r="20" spans="3:8" ht="30" customHeight="1" x14ac:dyDescent="0.25">
      <c r="D20" s="24" t="s">
        <v>74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95</v>
      </c>
      <c r="H24" s="10">
        <f t="shared" si="0"/>
        <v>9120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65</v>
      </c>
      <c r="H28" s="10">
        <f t="shared" si="0"/>
        <v>1040</v>
      </c>
    </row>
    <row r="29" spans="3:8" x14ac:dyDescent="0.25">
      <c r="D29" t="s">
        <v>136</v>
      </c>
      <c r="F29" s="41"/>
      <c r="G29" s="9"/>
      <c r="H29" s="38" t="s">
        <v>122</v>
      </c>
    </row>
    <row r="30" spans="3:8" x14ac:dyDescent="0.25">
      <c r="D30" t="s">
        <v>137</v>
      </c>
      <c r="F30" s="41"/>
      <c r="G30" s="9"/>
      <c r="H30" s="38" t="s">
        <v>122</v>
      </c>
    </row>
    <row r="31" spans="3:8" x14ac:dyDescent="0.25">
      <c r="D31" t="s">
        <v>54</v>
      </c>
      <c r="E31">
        <f>8*6</f>
        <v>48</v>
      </c>
      <c r="F31" s="41" t="s">
        <v>58</v>
      </c>
      <c r="G31" s="9">
        <f>VLOOKUP($A$4,zone_lu,4)</f>
        <v>95</v>
      </c>
      <c r="H31" s="10">
        <f t="shared" si="0"/>
        <v>4560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63520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63520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0.11</v>
      </c>
      <c r="F39" s="41"/>
      <c r="G39" s="9"/>
      <c r="H39" s="10">
        <f>ROUND(H37*E39,0)</f>
        <v>6987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2820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917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74244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8"/>
  <dimension ref="A1:O49"/>
  <sheetViews>
    <sheetView showGridLines="0" topLeftCell="A9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>
        <v>6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122</v>
      </c>
    </row>
    <row r="8" spans="1:15" x14ac:dyDescent="0.25">
      <c r="D8" t="s">
        <v>54</v>
      </c>
      <c r="E8">
        <v>32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9"/>
      <c r="H14" s="10"/>
    </row>
    <row r="15" spans="1:15" x14ac:dyDescent="0.25">
      <c r="D15" s="14" t="s">
        <v>73</v>
      </c>
      <c r="F15" s="41"/>
      <c r="G15" s="29"/>
      <c r="H15" s="10"/>
    </row>
    <row r="16" spans="1:15" x14ac:dyDescent="0.25">
      <c r="D16" t="s">
        <v>64</v>
      </c>
      <c r="F16" s="41"/>
      <c r="G16" s="29"/>
      <c r="H16" s="10"/>
    </row>
    <row r="17" spans="3:8" x14ac:dyDescent="0.25">
      <c r="D17" t="s">
        <v>54</v>
      </c>
      <c r="F17" s="41"/>
      <c r="G17" s="9"/>
      <c r="H17" s="10"/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4400</v>
      </c>
      <c r="H19" s="10">
        <f t="shared" si="0"/>
        <v>35200</v>
      </c>
    </row>
    <row r="20" spans="3:8" ht="30" customHeight="1" x14ac:dyDescent="0.25">
      <c r="D20" s="24" t="s">
        <v>81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85</v>
      </c>
      <c r="H24" s="10">
        <f t="shared" si="0"/>
        <v>8160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65</v>
      </c>
      <c r="H28" s="10">
        <f t="shared" si="0"/>
        <v>1040</v>
      </c>
    </row>
    <row r="29" spans="3:8" x14ac:dyDescent="0.25">
      <c r="D29" t="s">
        <v>136</v>
      </c>
      <c r="F29" s="41"/>
      <c r="G29" s="9"/>
      <c r="H29" s="38" t="s">
        <v>122</v>
      </c>
    </row>
    <row r="30" spans="3:8" x14ac:dyDescent="0.25">
      <c r="D30" t="s">
        <v>137</v>
      </c>
      <c r="F30" s="41"/>
      <c r="G30" s="9"/>
      <c r="H30" s="38" t="s">
        <v>122</v>
      </c>
    </row>
    <row r="31" spans="3:8" x14ac:dyDescent="0.25">
      <c r="D31" t="s">
        <v>54</v>
      </c>
      <c r="E31">
        <f>8*6</f>
        <v>48</v>
      </c>
      <c r="F31" s="41" t="s">
        <v>58</v>
      </c>
      <c r="G31" s="9">
        <f>VLOOKUP($A$4,zone_lu,4)</f>
        <v>85</v>
      </c>
      <c r="H31" s="10">
        <f t="shared" si="0"/>
        <v>4080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58880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58880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0.09</v>
      </c>
      <c r="F39" s="41"/>
      <c r="G39" s="9"/>
      <c r="H39" s="10">
        <f>ROUND(H37*E39,0)</f>
        <v>5299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2567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834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67580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10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>
        <v>9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122</v>
      </c>
    </row>
    <row r="8" spans="1:15" x14ac:dyDescent="0.25">
      <c r="D8" t="s">
        <v>54</v>
      </c>
      <c r="E8">
        <v>32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9"/>
      <c r="H14" s="10"/>
    </row>
    <row r="15" spans="1:15" x14ac:dyDescent="0.25">
      <c r="D15" s="14" t="s">
        <v>73</v>
      </c>
      <c r="F15" s="41"/>
      <c r="G15" s="29"/>
      <c r="H15" s="10"/>
    </row>
    <row r="16" spans="1:15" x14ac:dyDescent="0.25">
      <c r="D16" t="s">
        <v>64</v>
      </c>
      <c r="F16" s="41"/>
      <c r="G16" s="29"/>
      <c r="H16" s="10"/>
    </row>
    <row r="17" spans="3:8" x14ac:dyDescent="0.25">
      <c r="D17" t="s">
        <v>54</v>
      </c>
      <c r="F17" s="41"/>
      <c r="G17" s="9"/>
      <c r="H17" s="10"/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4800</v>
      </c>
      <c r="H19" s="10">
        <f t="shared" si="0"/>
        <v>38400</v>
      </c>
    </row>
    <row r="20" spans="3:8" ht="30" customHeight="1" x14ac:dyDescent="0.25">
      <c r="D20" s="24" t="s">
        <v>74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85</v>
      </c>
      <c r="H24" s="10">
        <f t="shared" si="0"/>
        <v>8160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65</v>
      </c>
      <c r="H28" s="10">
        <f t="shared" si="0"/>
        <v>1040</v>
      </c>
    </row>
    <row r="29" spans="3:8" x14ac:dyDescent="0.25">
      <c r="D29" t="s">
        <v>136</v>
      </c>
      <c r="F29" s="41"/>
      <c r="G29" s="9"/>
      <c r="H29" s="38" t="s">
        <v>122</v>
      </c>
    </row>
    <row r="30" spans="3:8" x14ac:dyDescent="0.25">
      <c r="D30" t="s">
        <v>137</v>
      </c>
      <c r="F30" s="41"/>
      <c r="G30" s="9"/>
      <c r="H30" s="38" t="s">
        <v>122</v>
      </c>
    </row>
    <row r="31" spans="3:8" x14ac:dyDescent="0.25">
      <c r="D31" t="s">
        <v>54</v>
      </c>
      <c r="E31">
        <f>8*6</f>
        <v>48</v>
      </c>
      <c r="F31" s="41" t="s">
        <v>58</v>
      </c>
      <c r="G31" s="9">
        <f>VLOOKUP($A$4,zone_lu,4)</f>
        <v>85</v>
      </c>
      <c r="H31" s="10">
        <f t="shared" si="0"/>
        <v>4080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62080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62080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0.09</v>
      </c>
      <c r="F39" s="41"/>
      <c r="G39" s="9"/>
      <c r="H39" s="10">
        <f>ROUND(H37*E39,0)</f>
        <v>5587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2707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880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71254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12"/>
  <dimension ref="A1:O49"/>
  <sheetViews>
    <sheetView showGridLines="0" topLeftCell="A9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>
        <v>10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122</v>
      </c>
    </row>
    <row r="8" spans="1:15" x14ac:dyDescent="0.25">
      <c r="D8" t="s">
        <v>54</v>
      </c>
      <c r="E8">
        <v>32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9"/>
      <c r="H14" s="10"/>
    </row>
    <row r="15" spans="1:15" x14ac:dyDescent="0.25">
      <c r="D15" s="14" t="s">
        <v>73</v>
      </c>
      <c r="F15" s="41"/>
      <c r="G15" s="29"/>
      <c r="H15" s="10"/>
    </row>
    <row r="16" spans="1:15" x14ac:dyDescent="0.25">
      <c r="D16" t="s">
        <v>64</v>
      </c>
      <c r="F16" s="41"/>
      <c r="G16" s="29"/>
      <c r="H16" s="10"/>
    </row>
    <row r="17" spans="3:8" x14ac:dyDescent="0.25">
      <c r="D17" t="s">
        <v>54</v>
      </c>
      <c r="F17" s="41"/>
      <c r="G17" s="9"/>
      <c r="H17" s="10"/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5200</v>
      </c>
      <c r="H19" s="10">
        <f t="shared" si="0"/>
        <v>41600</v>
      </c>
    </row>
    <row r="20" spans="3:8" ht="30" customHeight="1" x14ac:dyDescent="0.25">
      <c r="D20" s="24" t="s">
        <v>83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70</v>
      </c>
      <c r="H24" s="10">
        <f t="shared" si="0"/>
        <v>6720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65</v>
      </c>
      <c r="H28" s="10">
        <f t="shared" si="0"/>
        <v>1040</v>
      </c>
    </row>
    <row r="29" spans="3:8" x14ac:dyDescent="0.25">
      <c r="D29" t="s">
        <v>136</v>
      </c>
      <c r="F29" s="41"/>
      <c r="G29" s="9"/>
      <c r="H29" s="38" t="s">
        <v>122</v>
      </c>
    </row>
    <row r="30" spans="3:8" x14ac:dyDescent="0.25">
      <c r="D30" t="s">
        <v>137</v>
      </c>
      <c r="F30" s="41"/>
      <c r="G30" s="9"/>
      <c r="H30" s="38" t="s">
        <v>122</v>
      </c>
    </row>
    <row r="31" spans="3:8" x14ac:dyDescent="0.25">
      <c r="D31" t="s">
        <v>54</v>
      </c>
      <c r="E31">
        <f>8*6</f>
        <v>48</v>
      </c>
      <c r="F31" s="41" t="s">
        <v>58</v>
      </c>
      <c r="G31" s="9">
        <f>VLOOKUP($A$4,zone_lu,4)</f>
        <v>70</v>
      </c>
      <c r="H31" s="10">
        <f t="shared" si="0"/>
        <v>3360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63120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63120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0.09</v>
      </c>
      <c r="F39" s="41"/>
      <c r="G39" s="9"/>
      <c r="H39" s="10">
        <f>ROUND(H37*E39,0)</f>
        <v>5681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2752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894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72447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4"/>
  <dimension ref="A1:O49"/>
  <sheetViews>
    <sheetView showGridLines="0" topLeftCell="A1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>
        <v>12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38" t="s">
        <v>122</v>
      </c>
    </row>
    <row r="8" spans="1:15" x14ac:dyDescent="0.25">
      <c r="D8" t="s">
        <v>54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7" t="s">
        <v>123</v>
      </c>
    </row>
    <row r="14" spans="1:15" x14ac:dyDescent="0.25">
      <c r="D14" t="s">
        <v>61</v>
      </c>
      <c r="F14" s="41"/>
      <c r="G14" s="29"/>
      <c r="H14" s="10"/>
    </row>
    <row r="15" spans="1:15" x14ac:dyDescent="0.25">
      <c r="D15" s="14" t="s">
        <v>73</v>
      </c>
      <c r="F15" s="41"/>
      <c r="G15" s="29"/>
      <c r="H15" s="10"/>
    </row>
    <row r="16" spans="1:15" x14ac:dyDescent="0.25">
      <c r="D16" t="s">
        <v>64</v>
      </c>
      <c r="F16" s="41"/>
      <c r="G16" s="29"/>
      <c r="H16" s="10"/>
    </row>
    <row r="17" spans="3:8" x14ac:dyDescent="0.25">
      <c r="D17" t="s">
        <v>54</v>
      </c>
      <c r="F17" s="41"/>
      <c r="G17" s="9"/>
      <c r="H17" s="10"/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5200</v>
      </c>
      <c r="H19" s="10">
        <f t="shared" si="0"/>
        <v>41600</v>
      </c>
    </row>
    <row r="20" spans="3:8" ht="30" customHeight="1" x14ac:dyDescent="0.25">
      <c r="D20" s="24" t="s">
        <v>84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65</v>
      </c>
      <c r="H24" s="10">
        <f t="shared" si="0"/>
        <v>6240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65</v>
      </c>
      <c r="H28" s="10">
        <f t="shared" si="0"/>
        <v>1040</v>
      </c>
    </row>
    <row r="29" spans="3:8" x14ac:dyDescent="0.25">
      <c r="D29" t="s">
        <v>136</v>
      </c>
      <c r="F29" s="41"/>
      <c r="G29" s="9"/>
      <c r="H29" s="38" t="s">
        <v>122</v>
      </c>
    </row>
    <row r="30" spans="3:8" x14ac:dyDescent="0.25">
      <c r="D30" t="s">
        <v>137</v>
      </c>
      <c r="F30" s="41"/>
      <c r="G30" s="9"/>
      <c r="H30" s="38" t="s">
        <v>122</v>
      </c>
    </row>
    <row r="31" spans="3:8" x14ac:dyDescent="0.25">
      <c r="D31" t="s">
        <v>54</v>
      </c>
      <c r="E31">
        <f>8*6</f>
        <v>48</v>
      </c>
      <c r="F31" s="41" t="s">
        <v>58</v>
      </c>
      <c r="G31" s="9">
        <f>VLOOKUP($A$4,zone_lu,4)</f>
        <v>65</v>
      </c>
      <c r="H31" s="10">
        <f t="shared" si="0"/>
        <v>3120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64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62400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62400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0.09</v>
      </c>
      <c r="F39" s="41"/>
      <c r="G39" s="9"/>
      <c r="H39" s="10">
        <f>ROUND(H37*E39,0)</f>
        <v>5616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2721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884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71621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6"/>
  <dimension ref="A1:O49"/>
  <sheetViews>
    <sheetView showGridLines="0" workbookViewId="0">
      <selection activeCell="E30" sqref="E3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95</v>
      </c>
      <c r="H8" s="10">
        <f>E8*G8</f>
        <v>2280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2780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s="23" t="s">
        <v>64</v>
      </c>
      <c r="F16" s="41"/>
      <c r="G16" s="10"/>
      <c r="H16" s="10"/>
    </row>
    <row r="17" spans="3:8" x14ac:dyDescent="0.25">
      <c r="D17" s="23" t="s">
        <v>54</v>
      </c>
      <c r="F17" s="41"/>
      <c r="G17" s="10"/>
      <c r="H17" s="10"/>
    </row>
    <row r="18" spans="3:8" x14ac:dyDescent="0.25">
      <c r="C18" t="s">
        <v>52</v>
      </c>
      <c r="D18" s="23"/>
      <c r="F18" s="41"/>
      <c r="G18" s="9"/>
      <c r="H18" s="10">
        <f t="shared" ref="H18" si="1">E18*G18</f>
        <v>0</v>
      </c>
    </row>
    <row r="19" spans="3:8" x14ac:dyDescent="0.25">
      <c r="D19" s="23" t="s">
        <v>66</v>
      </c>
      <c r="E19">
        <v>6</v>
      </c>
      <c r="F19" s="41" t="s">
        <v>62</v>
      </c>
      <c r="G19" s="29">
        <v>6300</v>
      </c>
      <c r="H19" s="10">
        <f t="shared" si="0"/>
        <v>37800</v>
      </c>
    </row>
    <row r="20" spans="3:8" ht="45" x14ac:dyDescent="0.25">
      <c r="D20" s="24" t="s">
        <v>74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v>64</v>
      </c>
      <c r="F24" s="41" t="s">
        <v>58</v>
      </c>
      <c r="G24" s="9">
        <f>VLOOKUP($A$4,zone_lu,4)</f>
        <v>95</v>
      </c>
      <c r="H24" s="10">
        <f t="shared" si="0"/>
        <v>6080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12</v>
      </c>
      <c r="F28" s="41" t="s">
        <v>62</v>
      </c>
      <c r="G28" s="9">
        <v>95</v>
      </c>
      <c r="H28" s="10">
        <f t="shared" si="0"/>
        <v>1140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 t="s">
        <v>67</v>
      </c>
      <c r="G30" s="9"/>
      <c r="H30" s="39" t="s">
        <v>118</v>
      </c>
    </row>
    <row r="31" spans="3:8" x14ac:dyDescent="0.25">
      <c r="D31" t="s">
        <v>54</v>
      </c>
      <c r="E31">
        <v>24</v>
      </c>
      <c r="F31" s="41" t="s">
        <v>58</v>
      </c>
      <c r="G31" s="9">
        <f>VLOOKUP($A$4,zone_lu,4)</f>
        <v>95</v>
      </c>
      <c r="H31" s="10">
        <f t="shared" si="0"/>
        <v>2280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32</v>
      </c>
      <c r="F34" s="41" t="s">
        <v>58</v>
      </c>
      <c r="G34" s="9">
        <f>VLOOKUP($A$4,zone_lu,4)</f>
        <v>95</v>
      </c>
      <c r="H34" s="10">
        <f t="shared" si="0"/>
        <v>3040</v>
      </c>
    </row>
    <row r="35" spans="2:9" x14ac:dyDescent="0.25">
      <c r="E35" s="11"/>
      <c r="F35" s="42"/>
      <c r="G35" s="12"/>
      <c r="H35" s="13">
        <f>SUBTOTAL(9,H12:H34)</f>
        <v>59640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62420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0.2</v>
      </c>
      <c r="F39" s="41"/>
      <c r="G39" s="9"/>
      <c r="H39" s="10">
        <f>ROUND(H37*E39,0)</f>
        <v>12484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7490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1030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0.08</v>
      </c>
      <c r="F45" s="41"/>
      <c r="G45" s="9"/>
      <c r="H45" s="10">
        <f>ROUND(SUM(H37:H44)*E45,0)</f>
        <v>6674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90098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49"/>
  <sheetViews>
    <sheetView showGridLines="0" workbookViewId="0">
      <selection activeCell="H19" sqref="H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36" t="s">
        <v>118</v>
      </c>
    </row>
    <row r="8" spans="1:15" x14ac:dyDescent="0.25">
      <c r="D8" t="s">
        <v>54</v>
      </c>
      <c r="F8" s="41"/>
      <c r="G8" s="9"/>
      <c r="H8" s="10"/>
    </row>
    <row r="9" spans="1:15" x14ac:dyDescent="0.25">
      <c r="D9" t="s">
        <v>59</v>
      </c>
      <c r="F9" s="41"/>
      <c r="G9" s="10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8</v>
      </c>
      <c r="F14" s="41" t="s">
        <v>62</v>
      </c>
      <c r="G14" s="29">
        <v>1200</v>
      </c>
      <c r="H14" s="10">
        <f t="shared" si="0"/>
        <v>9600</v>
      </c>
    </row>
    <row r="15" spans="1:15" x14ac:dyDescent="0.25">
      <c r="D15" s="22" t="s">
        <v>78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t="s">
        <v>54</v>
      </c>
      <c r="E17">
        <f>16*6</f>
        <v>96</v>
      </c>
      <c r="F17" s="41" t="s">
        <v>58</v>
      </c>
      <c r="G17" s="9">
        <f>VLOOKUP($A$4,zone_lu,4)</f>
        <v>95</v>
      </c>
      <c r="H17" s="10">
        <f t="shared" si="0"/>
        <v>9120</v>
      </c>
    </row>
    <row r="18" spans="3:8" x14ac:dyDescent="0.25">
      <c r="C18" t="s">
        <v>52</v>
      </c>
      <c r="F18" s="41"/>
      <c r="G18" s="9"/>
      <c r="H18" s="37" t="s">
        <v>121</v>
      </c>
    </row>
    <row r="19" spans="3:8" x14ac:dyDescent="0.25">
      <c r="D19" t="s">
        <v>66</v>
      </c>
      <c r="F19" s="41"/>
      <c r="G19" s="28"/>
      <c r="H19" s="10"/>
    </row>
    <row r="20" spans="3:8" x14ac:dyDescent="0.25">
      <c r="D20" s="14" t="s">
        <v>18</v>
      </c>
      <c r="F20" s="41"/>
      <c r="G20" s="10"/>
      <c r="H20" s="10"/>
    </row>
    <row r="21" spans="3:8" x14ac:dyDescent="0.25">
      <c r="D21" s="15" t="s">
        <v>68</v>
      </c>
      <c r="F21" s="41"/>
      <c r="G21" s="10"/>
      <c r="H21" s="10"/>
    </row>
    <row r="22" spans="3:8" x14ac:dyDescent="0.25">
      <c r="D22" s="15" t="s">
        <v>120</v>
      </c>
      <c r="F22" s="41"/>
      <c r="G22" s="10"/>
      <c r="H22" s="10"/>
    </row>
    <row r="23" spans="3:8" x14ac:dyDescent="0.25">
      <c r="D23" t="s">
        <v>64</v>
      </c>
      <c r="F23" s="41"/>
      <c r="G23" s="10"/>
      <c r="H23" s="10"/>
    </row>
    <row r="24" spans="3:8" x14ac:dyDescent="0.25">
      <c r="D24" t="s">
        <v>54</v>
      </c>
      <c r="F24" s="41"/>
      <c r="G24" s="9"/>
      <c r="H24" s="10"/>
    </row>
    <row r="25" spans="3:8" x14ac:dyDescent="0.25">
      <c r="C25" t="s">
        <v>112</v>
      </c>
      <c r="F25" s="41"/>
      <c r="G25" s="10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75</v>
      </c>
      <c r="H28" s="10">
        <f t="shared" si="0"/>
        <v>600</v>
      </c>
    </row>
    <row r="29" spans="3:8" x14ac:dyDescent="0.25">
      <c r="D29" t="s">
        <v>136</v>
      </c>
      <c r="F29" s="41"/>
      <c r="G29" s="9"/>
      <c r="H29" s="36" t="s">
        <v>118</v>
      </c>
    </row>
    <row r="30" spans="3:8" x14ac:dyDescent="0.25">
      <c r="D30" t="s">
        <v>137</v>
      </c>
      <c r="E30">
        <v>240</v>
      </c>
      <c r="F30" s="41" t="s">
        <v>67</v>
      </c>
      <c r="G30" s="9">
        <v>3</v>
      </c>
      <c r="H30" s="10">
        <f t="shared" si="0"/>
        <v>720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95</v>
      </c>
      <c r="H31" s="10">
        <f t="shared" si="0"/>
        <v>9120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64</v>
      </c>
      <c r="F33" s="41"/>
      <c r="G33" s="9"/>
      <c r="H33" s="36" t="s">
        <v>138</v>
      </c>
    </row>
    <row r="34" spans="2:9" x14ac:dyDescent="0.25">
      <c r="D34" t="s">
        <v>54</v>
      </c>
      <c r="F34" s="41"/>
      <c r="G34" s="9"/>
      <c r="H34" s="36" t="s">
        <v>138</v>
      </c>
    </row>
    <row r="35" spans="2:9" x14ac:dyDescent="0.25">
      <c r="E35" s="11"/>
      <c r="F35" s="42"/>
      <c r="G35" s="12"/>
      <c r="H35" s="13">
        <f>SUBTOTAL(9,H12:H34)</f>
        <v>34360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34360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0.12</v>
      </c>
      <c r="F39" s="41"/>
      <c r="G39" s="9"/>
      <c r="H39" s="10">
        <f>ROUND(H37*E39,0)</f>
        <v>4123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1539</v>
      </c>
      <c r="I41" s="10">
        <f>ROUND(SUM(I37:I40)*F41,0)</f>
        <v>0</v>
      </c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500</v>
      </c>
      <c r="I43" s="10">
        <f>ROUND(SUM(I37:I42)*F43,0)</f>
        <v>0</v>
      </c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40522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13"/>
  <dimension ref="A1:O49"/>
  <sheetViews>
    <sheetView showGridLines="0" workbookViewId="0">
      <selection activeCell="E30" sqref="E3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95</v>
      </c>
      <c r="H8" s="10">
        <f>E8*G8</f>
        <v>2280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2780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s="23" t="s">
        <v>64</v>
      </c>
      <c r="F16" s="41"/>
      <c r="G16" s="10"/>
      <c r="H16" s="10"/>
    </row>
    <row r="17" spans="3:8" x14ac:dyDescent="0.25">
      <c r="D17" s="23" t="s">
        <v>54</v>
      </c>
      <c r="F17" s="41"/>
      <c r="G17" s="10"/>
      <c r="H17" s="10"/>
    </row>
    <row r="18" spans="3:8" x14ac:dyDescent="0.25">
      <c r="C18" t="s">
        <v>52</v>
      </c>
      <c r="D18" s="23"/>
      <c r="F18" s="41"/>
      <c r="G18" s="9"/>
      <c r="H18" s="10">
        <f t="shared" ref="H18" si="1">E18*G18</f>
        <v>0</v>
      </c>
    </row>
    <row r="19" spans="3:8" x14ac:dyDescent="0.25">
      <c r="D19" s="23" t="s">
        <v>66</v>
      </c>
      <c r="E19">
        <v>6</v>
      </c>
      <c r="F19" s="41" t="s">
        <v>62</v>
      </c>
      <c r="G19" s="29">
        <v>5200</v>
      </c>
      <c r="H19" s="10">
        <f t="shared" si="0"/>
        <v>31200</v>
      </c>
    </row>
    <row r="20" spans="3:8" ht="28.9" customHeight="1" x14ac:dyDescent="0.25">
      <c r="D20" s="24" t="s">
        <v>96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v>64</v>
      </c>
      <c r="F24" s="41" t="s">
        <v>58</v>
      </c>
      <c r="G24" s="9">
        <f>VLOOKUP($A$4,zone_lu,4)</f>
        <v>95</v>
      </c>
      <c r="H24" s="10">
        <f t="shared" si="0"/>
        <v>6080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12</v>
      </c>
      <c r="F28" s="41" t="s">
        <v>62</v>
      </c>
      <c r="G28" s="9">
        <v>95</v>
      </c>
      <c r="H28" s="10">
        <f t="shared" si="0"/>
        <v>1140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 t="s">
        <v>67</v>
      </c>
      <c r="G30" s="9"/>
      <c r="H30" s="39" t="s">
        <v>118</v>
      </c>
    </row>
    <row r="31" spans="3:8" x14ac:dyDescent="0.25">
      <c r="D31" t="s">
        <v>54</v>
      </c>
      <c r="E31">
        <v>24</v>
      </c>
      <c r="F31" s="41" t="s">
        <v>58</v>
      </c>
      <c r="G31" s="9">
        <f>VLOOKUP($A$4,zone_lu,4)</f>
        <v>95</v>
      </c>
      <c r="H31" s="10">
        <f t="shared" si="0"/>
        <v>2280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32</v>
      </c>
      <c r="F34" s="41" t="s">
        <v>58</v>
      </c>
      <c r="G34" s="9">
        <f>VLOOKUP($A$4,zone_lu,4)</f>
        <v>95</v>
      </c>
      <c r="H34" s="10">
        <f t="shared" si="0"/>
        <v>3040</v>
      </c>
    </row>
    <row r="35" spans="2:9" x14ac:dyDescent="0.25">
      <c r="E35" s="11"/>
      <c r="F35" s="42"/>
      <c r="G35" s="12"/>
      <c r="H35" s="13">
        <f>SUBTOTAL(9,H12:H34)</f>
        <v>53040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55820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0.2</v>
      </c>
      <c r="F39" s="41"/>
      <c r="G39" s="9"/>
      <c r="H39" s="10">
        <f>ROUND(H37*E39,0)</f>
        <v>11164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6698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921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0.08</v>
      </c>
      <c r="F45" s="41"/>
      <c r="G45" s="9"/>
      <c r="H45" s="10">
        <f>ROUND(SUM(H37:H44)*E45,0)</f>
        <v>5968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80571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14"/>
  <dimension ref="A1:O49"/>
  <sheetViews>
    <sheetView showGridLines="0" workbookViewId="0">
      <selection activeCell="E30" sqref="E3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95</v>
      </c>
      <c r="H8" s="10">
        <f>E8*G8</f>
        <v>2280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2780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s="23" t="s">
        <v>64</v>
      </c>
      <c r="F16" s="41"/>
      <c r="G16" s="10"/>
      <c r="H16" s="10"/>
    </row>
    <row r="17" spans="3:8" x14ac:dyDescent="0.25">
      <c r="D17" s="23" t="s">
        <v>54</v>
      </c>
      <c r="F17" s="41"/>
      <c r="G17" s="10"/>
      <c r="H17" s="10"/>
    </row>
    <row r="18" spans="3:8" x14ac:dyDescent="0.25">
      <c r="C18" t="s">
        <v>52</v>
      </c>
      <c r="D18" s="23"/>
      <c r="F18" s="41"/>
      <c r="G18" s="9"/>
      <c r="H18" s="10">
        <f t="shared" ref="H18" si="1">E18*G18</f>
        <v>0</v>
      </c>
    </row>
    <row r="19" spans="3:8" x14ac:dyDescent="0.25">
      <c r="D19" s="23" t="s">
        <v>66</v>
      </c>
      <c r="E19">
        <v>6</v>
      </c>
      <c r="F19" s="41" t="s">
        <v>62</v>
      </c>
      <c r="G19" s="29">
        <v>6800</v>
      </c>
      <c r="H19" s="10">
        <f t="shared" si="0"/>
        <v>40800</v>
      </c>
    </row>
    <row r="20" spans="3:8" ht="30" customHeight="1" x14ac:dyDescent="0.25">
      <c r="D20" s="24" t="s">
        <v>97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v>64</v>
      </c>
      <c r="F24" s="41" t="s">
        <v>58</v>
      </c>
      <c r="G24" s="9">
        <f>VLOOKUP($A$4,zone_lu,4)</f>
        <v>95</v>
      </c>
      <c r="H24" s="10">
        <f t="shared" si="0"/>
        <v>6080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12</v>
      </c>
      <c r="F28" s="41" t="s">
        <v>62</v>
      </c>
      <c r="G28" s="9">
        <v>95</v>
      </c>
      <c r="H28" s="10">
        <f t="shared" si="0"/>
        <v>1140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 t="s">
        <v>67</v>
      </c>
      <c r="G30" s="9"/>
      <c r="H30" s="39" t="s">
        <v>118</v>
      </c>
    </row>
    <row r="31" spans="3:8" x14ac:dyDescent="0.25">
      <c r="D31" t="s">
        <v>54</v>
      </c>
      <c r="E31">
        <v>24</v>
      </c>
      <c r="F31" s="41" t="s">
        <v>58</v>
      </c>
      <c r="G31" s="9">
        <f>VLOOKUP($A$4,zone_lu,4)</f>
        <v>95</v>
      </c>
      <c r="H31" s="10">
        <f t="shared" si="0"/>
        <v>2280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32</v>
      </c>
      <c r="F34" s="41" t="s">
        <v>58</v>
      </c>
      <c r="G34" s="9">
        <f>VLOOKUP($A$4,zone_lu,4)</f>
        <v>95</v>
      </c>
      <c r="H34" s="10">
        <f t="shared" si="0"/>
        <v>3040</v>
      </c>
    </row>
    <row r="35" spans="2:9" x14ac:dyDescent="0.25">
      <c r="E35" s="11"/>
      <c r="F35" s="42"/>
      <c r="G35" s="12"/>
      <c r="H35" s="13">
        <f>SUBTOTAL(9,H12:H34)</f>
        <v>62640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65420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0.2</v>
      </c>
      <c r="F39" s="41"/>
      <c r="G39" s="9"/>
      <c r="H39" s="10">
        <f>ROUND(H37*E39,0)</f>
        <v>13084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7850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1079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0.08</v>
      </c>
      <c r="F45" s="41"/>
      <c r="G45" s="9"/>
      <c r="H45" s="10">
        <f>ROUND(SUM(H37:H44)*E45,0)</f>
        <v>6995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94428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8"/>
  <dimension ref="A1:O49"/>
  <sheetViews>
    <sheetView showGridLines="0" workbookViewId="0">
      <selection activeCell="G20" sqref="G2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>
        <v>4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95</v>
      </c>
      <c r="H8" s="10">
        <f>E8*G8</f>
        <v>2280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2780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" si="1">E18*G18</f>
        <v>0</v>
      </c>
    </row>
    <row r="19" spans="3:8" x14ac:dyDescent="0.25">
      <c r="D19" t="s">
        <v>66</v>
      </c>
      <c r="E19">
        <v>6</v>
      </c>
      <c r="F19" s="41" t="s">
        <v>62</v>
      </c>
      <c r="G19" s="29">
        <v>5900</v>
      </c>
      <c r="H19" s="10">
        <f t="shared" si="0"/>
        <v>35400</v>
      </c>
    </row>
    <row r="20" spans="3:8" ht="28.15" customHeight="1" x14ac:dyDescent="0.25">
      <c r="D20" s="24" t="s">
        <v>86</v>
      </c>
      <c r="E20" s="26"/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v>64</v>
      </c>
      <c r="F24" s="41" t="s">
        <v>58</v>
      </c>
      <c r="G24" s="9">
        <f>VLOOKUP($A$4,zone_lu,4)</f>
        <v>95</v>
      </c>
      <c r="H24" s="10">
        <f t="shared" si="0"/>
        <v>6080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12</v>
      </c>
      <c r="F28" s="41" t="s">
        <v>62</v>
      </c>
      <c r="G28" s="9">
        <v>95</v>
      </c>
      <c r="H28" s="10">
        <f t="shared" si="0"/>
        <v>1140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 t="s">
        <v>67</v>
      </c>
      <c r="G30" s="9"/>
      <c r="H30" s="39" t="s">
        <v>118</v>
      </c>
    </row>
    <row r="31" spans="3:8" x14ac:dyDescent="0.25">
      <c r="D31" t="s">
        <v>54</v>
      </c>
      <c r="E31">
        <v>24</v>
      </c>
      <c r="F31" s="41" t="s">
        <v>58</v>
      </c>
      <c r="G31" s="9">
        <f>VLOOKUP($A$4,zone_lu,4)</f>
        <v>95</v>
      </c>
      <c r="H31" s="10">
        <f t="shared" si="0"/>
        <v>2280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32</v>
      </c>
      <c r="F34" s="41" t="s">
        <v>58</v>
      </c>
      <c r="G34" s="9">
        <f>VLOOKUP($A$4,zone_lu,4)</f>
        <v>95</v>
      </c>
      <c r="H34" s="10">
        <f t="shared" si="0"/>
        <v>3040</v>
      </c>
    </row>
    <row r="35" spans="2:9" x14ac:dyDescent="0.25">
      <c r="E35" s="11"/>
      <c r="F35" s="42"/>
      <c r="G35" s="12"/>
      <c r="H35" s="13">
        <f>SUBTOTAL(9,H12:H34)</f>
        <v>57240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60020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0.18</v>
      </c>
      <c r="F39" s="41"/>
      <c r="G39" s="9"/>
      <c r="H39" s="10">
        <f>ROUND(H37*E39,0)</f>
        <v>10804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7082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974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0.05</v>
      </c>
      <c r="F45" s="41"/>
      <c r="G45" s="9"/>
      <c r="H45" s="10">
        <f>ROUND(SUM(H37:H44)*E45,0)</f>
        <v>3944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82824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20"/>
  <dimension ref="A1:O49"/>
  <sheetViews>
    <sheetView showGridLines="0" workbookViewId="0">
      <selection activeCell="E30" sqref="E3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>
        <v>6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85</v>
      </c>
      <c r="H8" s="10">
        <f>E8*G8</f>
        <v>2040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2540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" si="1">E18*G18</f>
        <v>0</v>
      </c>
    </row>
    <row r="19" spans="3:8" x14ac:dyDescent="0.25">
      <c r="D19" t="s">
        <v>66</v>
      </c>
      <c r="E19">
        <v>6</v>
      </c>
      <c r="F19" s="41" t="s">
        <v>62</v>
      </c>
      <c r="G19" s="29">
        <v>5400</v>
      </c>
      <c r="H19" s="10">
        <f t="shared" si="0"/>
        <v>32400</v>
      </c>
    </row>
    <row r="20" spans="3:8" ht="30" customHeight="1" x14ac:dyDescent="0.25">
      <c r="D20" s="24" t="s">
        <v>85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v>64</v>
      </c>
      <c r="F24" s="41" t="s">
        <v>58</v>
      </c>
      <c r="G24" s="9">
        <f>VLOOKUP($A$4,zone_lu,4)</f>
        <v>85</v>
      </c>
      <c r="H24" s="10">
        <f t="shared" si="0"/>
        <v>5440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12</v>
      </c>
      <c r="F28" s="41" t="s">
        <v>62</v>
      </c>
      <c r="G28" s="9">
        <v>95</v>
      </c>
      <c r="H28" s="10">
        <f t="shared" si="0"/>
        <v>1140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 t="s">
        <v>67</v>
      </c>
      <c r="G30" s="9"/>
      <c r="H30" s="39" t="s">
        <v>118</v>
      </c>
    </row>
    <row r="31" spans="3:8" x14ac:dyDescent="0.25">
      <c r="D31" t="s">
        <v>54</v>
      </c>
      <c r="E31">
        <v>24</v>
      </c>
      <c r="F31" s="41" t="s">
        <v>58</v>
      </c>
      <c r="G31" s="9">
        <f>VLOOKUP($A$4,zone_lu,4)</f>
        <v>85</v>
      </c>
      <c r="H31" s="10">
        <f t="shared" si="0"/>
        <v>2040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32</v>
      </c>
      <c r="F34" s="41" t="s">
        <v>58</v>
      </c>
      <c r="G34" s="9">
        <f>VLOOKUP($A$4,zone_lu,4)</f>
        <v>85</v>
      </c>
      <c r="H34" s="10">
        <f t="shared" si="0"/>
        <v>2720</v>
      </c>
    </row>
    <row r="35" spans="2:9" x14ac:dyDescent="0.25">
      <c r="E35" s="11"/>
      <c r="F35" s="42"/>
      <c r="G35" s="12"/>
      <c r="H35" s="13">
        <f>SUBTOTAL(9,H12:H34)</f>
        <v>53040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55580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8337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6392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879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0.02</v>
      </c>
      <c r="F45" s="41"/>
      <c r="G45" s="9"/>
      <c r="H45" s="10">
        <f>ROUND(SUM(H37:H44)*E45,0)</f>
        <v>1424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72612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22"/>
  <dimension ref="A1:O49"/>
  <sheetViews>
    <sheetView showGridLines="0" workbookViewId="0">
      <selection activeCell="E20" sqref="E20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>
        <v>9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85</v>
      </c>
      <c r="H8" s="10">
        <f>E8*G8</f>
        <v>2040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2540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" si="1">E18*G18</f>
        <v>0</v>
      </c>
    </row>
    <row r="19" spans="3:8" x14ac:dyDescent="0.25">
      <c r="D19" t="s">
        <v>66</v>
      </c>
      <c r="E19">
        <v>6</v>
      </c>
      <c r="F19" s="41" t="s">
        <v>62</v>
      </c>
      <c r="G19" s="29">
        <v>5900</v>
      </c>
      <c r="H19" s="10">
        <f t="shared" si="0"/>
        <v>35400</v>
      </c>
    </row>
    <row r="20" spans="3:8" ht="30.6" customHeight="1" x14ac:dyDescent="0.25">
      <c r="D20" s="24" t="s">
        <v>86</v>
      </c>
      <c r="E20" s="1"/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v>64</v>
      </c>
      <c r="F24" s="41" t="s">
        <v>58</v>
      </c>
      <c r="G24" s="9">
        <f>VLOOKUP($A$4,zone_lu,4)</f>
        <v>85</v>
      </c>
      <c r="H24" s="10">
        <f t="shared" si="0"/>
        <v>5440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12</v>
      </c>
      <c r="F28" s="41" t="s">
        <v>62</v>
      </c>
      <c r="G28" s="9">
        <v>95</v>
      </c>
      <c r="H28" s="10">
        <f t="shared" si="0"/>
        <v>1140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 t="s">
        <v>67</v>
      </c>
      <c r="G30" s="9"/>
      <c r="H30" s="39" t="s">
        <v>118</v>
      </c>
    </row>
    <row r="31" spans="3:8" x14ac:dyDescent="0.25">
      <c r="D31" t="s">
        <v>54</v>
      </c>
      <c r="E31">
        <v>24</v>
      </c>
      <c r="F31" s="41" t="s">
        <v>58</v>
      </c>
      <c r="G31" s="9">
        <f>VLOOKUP($A$4,zone_lu,4)</f>
        <v>85</v>
      </c>
      <c r="H31" s="10">
        <f t="shared" si="0"/>
        <v>2040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32</v>
      </c>
      <c r="F34" s="41" t="s">
        <v>58</v>
      </c>
      <c r="G34" s="9">
        <f>VLOOKUP($A$4,zone_lu,4)</f>
        <v>85</v>
      </c>
      <c r="H34" s="10">
        <f t="shared" si="0"/>
        <v>2720</v>
      </c>
    </row>
    <row r="35" spans="2:9" x14ac:dyDescent="0.25">
      <c r="E35" s="11"/>
      <c r="F35" s="42"/>
      <c r="G35" s="12"/>
      <c r="H35" s="13">
        <f>SUBTOTAL(9,H12:H34)</f>
        <v>56040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58580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8787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6737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926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0.02</v>
      </c>
      <c r="F45" s="41"/>
      <c r="G45" s="9"/>
      <c r="H45" s="10">
        <f>ROUND(SUM(H37:H44)*E45,0)</f>
        <v>1501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76531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4"/>
  <dimension ref="A1:O49"/>
  <sheetViews>
    <sheetView showGridLines="0" workbookViewId="0">
      <selection activeCell="G14" sqref="G14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>
        <v>10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70</v>
      </c>
      <c r="H8" s="10">
        <f>E8*G8</f>
        <v>1680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2180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" si="1">E18*G18</f>
        <v>0</v>
      </c>
    </row>
    <row r="19" spans="3:8" x14ac:dyDescent="0.25">
      <c r="D19" t="s">
        <v>66</v>
      </c>
      <c r="E19">
        <v>6</v>
      </c>
      <c r="F19" s="41" t="s">
        <v>62</v>
      </c>
      <c r="G19" s="29">
        <v>6100</v>
      </c>
      <c r="H19" s="10">
        <f t="shared" si="0"/>
        <v>36600</v>
      </c>
    </row>
    <row r="20" spans="3:8" ht="30" customHeight="1" x14ac:dyDescent="0.25">
      <c r="D20" s="24" t="s">
        <v>87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v>64</v>
      </c>
      <c r="F24" s="41" t="s">
        <v>58</v>
      </c>
      <c r="G24" s="9">
        <f>VLOOKUP($A$4,zone_lu,4)</f>
        <v>70</v>
      </c>
      <c r="H24" s="10">
        <f t="shared" si="0"/>
        <v>4480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12</v>
      </c>
      <c r="F28" s="41" t="s">
        <v>62</v>
      </c>
      <c r="G28" s="9">
        <v>95</v>
      </c>
      <c r="H28" s="10">
        <f t="shared" si="0"/>
        <v>1140</v>
      </c>
    </row>
    <row r="29" spans="3:8" x14ac:dyDescent="0.25">
      <c r="D29" t="s">
        <v>136</v>
      </c>
      <c r="F29" s="41"/>
      <c r="G29" s="9"/>
      <c r="H29" s="39" t="s">
        <v>118</v>
      </c>
    </row>
    <row r="30" spans="3:8" x14ac:dyDescent="0.25">
      <c r="D30" t="s">
        <v>137</v>
      </c>
      <c r="F30" s="41" t="s">
        <v>67</v>
      </c>
      <c r="G30" s="9"/>
      <c r="H30" s="39" t="s">
        <v>118</v>
      </c>
    </row>
    <row r="31" spans="3:8" x14ac:dyDescent="0.25">
      <c r="D31" t="s">
        <v>54</v>
      </c>
      <c r="E31">
        <v>48</v>
      </c>
      <c r="F31" s="41" t="s">
        <v>58</v>
      </c>
      <c r="G31" s="9">
        <f>VLOOKUP($A$4,zone_lu,4)</f>
        <v>70</v>
      </c>
      <c r="H31" s="10">
        <f t="shared" si="0"/>
        <v>3360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32</v>
      </c>
      <c r="F34" s="41" t="s">
        <v>58</v>
      </c>
      <c r="G34" s="9">
        <f>VLOOKUP($A$4,zone_lu,4)</f>
        <v>70</v>
      </c>
      <c r="H34" s="10">
        <f t="shared" si="0"/>
        <v>2240</v>
      </c>
    </row>
    <row r="35" spans="2:9" x14ac:dyDescent="0.25">
      <c r="E35" s="11"/>
      <c r="F35" s="42"/>
      <c r="G35" s="12"/>
      <c r="H35" s="13">
        <f>SUBTOTAL(9,H12:H34)</f>
        <v>57120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59300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8895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6820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938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</v>
      </c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75953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26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>
        <v>12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65</v>
      </c>
      <c r="H8" s="10">
        <f>E8*G8</f>
        <v>1560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2060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" si="1">E18*G18</f>
        <v>0</v>
      </c>
    </row>
    <row r="19" spans="3:8" x14ac:dyDescent="0.25">
      <c r="D19" t="s">
        <v>66</v>
      </c>
      <c r="E19">
        <v>6</v>
      </c>
      <c r="F19" s="41" t="s">
        <v>62</v>
      </c>
      <c r="G19" s="29">
        <v>6100</v>
      </c>
      <c r="H19" s="10">
        <f t="shared" si="0"/>
        <v>36600</v>
      </c>
    </row>
    <row r="20" spans="3:8" ht="30.6" customHeight="1" x14ac:dyDescent="0.25">
      <c r="D20" s="24" t="s">
        <v>87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v>64</v>
      </c>
      <c r="F24" s="41" t="s">
        <v>58</v>
      </c>
      <c r="G24" s="9">
        <f>VLOOKUP($A$4,zone_lu,4)</f>
        <v>65</v>
      </c>
      <c r="H24" s="10">
        <f t="shared" si="0"/>
        <v>4160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12</v>
      </c>
      <c r="F28" s="41" t="s">
        <v>62</v>
      </c>
      <c r="G28" s="9">
        <v>95</v>
      </c>
      <c r="H28" s="10">
        <f t="shared" si="0"/>
        <v>1140</v>
      </c>
    </row>
    <row r="29" spans="3:8" x14ac:dyDescent="0.25">
      <c r="D29" t="s">
        <v>136</v>
      </c>
      <c r="F29" s="41"/>
      <c r="G29" s="9"/>
      <c r="H29" s="37" t="s">
        <v>118</v>
      </c>
    </row>
    <row r="30" spans="3:8" x14ac:dyDescent="0.25">
      <c r="D30" t="s">
        <v>137</v>
      </c>
      <c r="F30" s="41" t="s">
        <v>67</v>
      </c>
      <c r="G30" s="9"/>
      <c r="H30" s="37" t="s">
        <v>118</v>
      </c>
    </row>
    <row r="31" spans="3:8" x14ac:dyDescent="0.25">
      <c r="D31" t="s">
        <v>54</v>
      </c>
      <c r="E31">
        <v>48</v>
      </c>
      <c r="F31" s="41" t="s">
        <v>58</v>
      </c>
      <c r="G31" s="9">
        <f>VLOOKUP($A$4,zone_lu,4)</f>
        <v>65</v>
      </c>
      <c r="H31" s="10">
        <f t="shared" si="0"/>
        <v>3120</v>
      </c>
    </row>
    <row r="32" spans="3:8" x14ac:dyDescent="0.25">
      <c r="C32" t="s">
        <v>113</v>
      </c>
      <c r="F32" s="41"/>
      <c r="G32" s="9"/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32</v>
      </c>
      <c r="F34" s="41" t="s">
        <v>58</v>
      </c>
      <c r="G34" s="9">
        <f>VLOOKUP($A$4,zone_lu,4)</f>
        <v>65</v>
      </c>
      <c r="H34" s="10">
        <f t="shared" si="0"/>
        <v>2080</v>
      </c>
    </row>
    <row r="35" spans="2:9" x14ac:dyDescent="0.25">
      <c r="E35" s="11"/>
      <c r="F35" s="42"/>
      <c r="G35" s="12"/>
      <c r="H35" s="13">
        <f>SUBTOTAL(9,H12:H34)</f>
        <v>56400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58460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8769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6723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924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</v>
      </c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74876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28">
    <tabColor theme="7"/>
  </sheetPr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8</v>
      </c>
      <c r="F8" s="41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1260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" si="1">E18*G18</f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1500</v>
      </c>
      <c r="H19" s="10">
        <f t="shared" si="0"/>
        <v>12000</v>
      </c>
    </row>
    <row r="20" spans="3:8" ht="30" x14ac:dyDescent="0.25">
      <c r="D20" s="24" t="s">
        <v>184</v>
      </c>
      <c r="E20" s="1"/>
      <c r="F20" s="41"/>
      <c r="G20" s="9"/>
      <c r="H20" s="10">
        <f t="shared" si="0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f>8*24</f>
        <v>192</v>
      </c>
      <c r="F24" s="41" t="s">
        <v>58</v>
      </c>
      <c r="G24" s="9">
        <f>VLOOKUP($A$4,zone_lu,4)</f>
        <v>95</v>
      </c>
      <c r="H24" s="10">
        <f t="shared" si="0"/>
        <v>18240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200</v>
      </c>
      <c r="H26" s="10">
        <f t="shared" si="0"/>
        <v>1600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0"/>
        <v>1000</v>
      </c>
    </row>
    <row r="29" spans="3:8" x14ac:dyDescent="0.25">
      <c r="D29" t="s">
        <v>136</v>
      </c>
      <c r="E29">
        <v>1</v>
      </c>
      <c r="F29" s="41" t="s">
        <v>62</v>
      </c>
      <c r="G29" s="9">
        <v>800</v>
      </c>
      <c r="H29" s="10">
        <f t="shared" si="0"/>
        <v>800</v>
      </c>
    </row>
    <row r="30" spans="3:8" x14ac:dyDescent="0.25">
      <c r="D30" t="s">
        <v>137</v>
      </c>
      <c r="F30" s="41"/>
      <c r="G30" s="9"/>
      <c r="H30" s="39" t="s">
        <v>118</v>
      </c>
    </row>
    <row r="31" spans="3:8" x14ac:dyDescent="0.25">
      <c r="D31" t="s">
        <v>54</v>
      </c>
      <c r="E31">
        <v>72</v>
      </c>
      <c r="F31" s="41" t="s">
        <v>58</v>
      </c>
      <c r="G31" s="9">
        <f>VLOOKUP($A$4,zone_lu,4)</f>
        <v>95</v>
      </c>
      <c r="H31" s="10">
        <f t="shared" si="0"/>
        <v>6840</v>
      </c>
    </row>
    <row r="32" spans="3:8" x14ac:dyDescent="0.25">
      <c r="C32" s="23" t="s">
        <v>113</v>
      </c>
      <c r="F32" s="41"/>
      <c r="G32" s="9"/>
      <c r="H32" s="37"/>
    </row>
    <row r="33" spans="2:9" x14ac:dyDescent="0.25">
      <c r="D33" t="s">
        <v>64</v>
      </c>
      <c r="F33" s="41"/>
      <c r="G33" s="9"/>
      <c r="H33" s="39" t="s">
        <v>118</v>
      </c>
    </row>
    <row r="34" spans="2:9" x14ac:dyDescent="0.25">
      <c r="D34" t="s">
        <v>54</v>
      </c>
      <c r="F34" s="41"/>
      <c r="G34" s="9"/>
      <c r="H34" s="39" t="s">
        <v>118</v>
      </c>
    </row>
    <row r="35" spans="2:9" x14ac:dyDescent="0.25">
      <c r="E35" s="11"/>
      <c r="F35" s="42"/>
      <c r="G35" s="12"/>
      <c r="H35" s="13">
        <f>SUBTOTAL(9,H12:H34)</f>
        <v>43680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44940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0.2</v>
      </c>
      <c r="F39" s="41"/>
      <c r="G39" s="9"/>
      <c r="H39" s="10">
        <f>ROUND(H37*E39,0)</f>
        <v>8988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5393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742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0.08</v>
      </c>
      <c r="F45" s="41"/>
      <c r="G45" s="9"/>
      <c r="H45" s="10">
        <f>ROUND(SUM(H37:H44)*E45,0)</f>
        <v>4805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64868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115">
    <tabColor theme="7"/>
  </sheetPr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8</v>
      </c>
      <c r="F8" s="41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1260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:H31" si="1">E18*G18</f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1200</v>
      </c>
      <c r="H19" s="10">
        <f t="shared" si="1"/>
        <v>9600</v>
      </c>
    </row>
    <row r="20" spans="3:8" ht="30" x14ac:dyDescent="0.25">
      <c r="D20" s="24" t="s">
        <v>98</v>
      </c>
      <c r="E20" s="1"/>
      <c r="F20" s="41"/>
      <c r="G20" s="9"/>
      <c r="H20" s="10">
        <f t="shared" si="1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1"/>
        <v>3200</v>
      </c>
    </row>
    <row r="24" spans="3:8" x14ac:dyDescent="0.25">
      <c r="D24" t="s">
        <v>54</v>
      </c>
      <c r="E24">
        <f>8*24</f>
        <v>192</v>
      </c>
      <c r="F24" s="41" t="s">
        <v>58</v>
      </c>
      <c r="G24" s="9">
        <f>VLOOKUP($A$4,zone_lu,4)</f>
        <v>95</v>
      </c>
      <c r="H24" s="10">
        <f t="shared" si="1"/>
        <v>18240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200</v>
      </c>
      <c r="H26" s="10">
        <f t="shared" si="1"/>
        <v>1600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1"/>
        <v>1000</v>
      </c>
    </row>
    <row r="29" spans="3:8" x14ac:dyDescent="0.25">
      <c r="D29" t="s">
        <v>136</v>
      </c>
      <c r="E29">
        <v>1</v>
      </c>
      <c r="F29" s="41" t="s">
        <v>62</v>
      </c>
      <c r="G29" s="9">
        <v>800</v>
      </c>
      <c r="H29" s="10">
        <f t="shared" si="1"/>
        <v>800</v>
      </c>
    </row>
    <row r="30" spans="3:8" x14ac:dyDescent="0.25">
      <c r="D30" t="s">
        <v>137</v>
      </c>
      <c r="F30" s="41"/>
      <c r="G30" s="9"/>
      <c r="H30" s="39" t="s">
        <v>118</v>
      </c>
    </row>
    <row r="31" spans="3:8" x14ac:dyDescent="0.25">
      <c r="D31" t="s">
        <v>54</v>
      </c>
      <c r="E31">
        <v>72</v>
      </c>
      <c r="F31" s="41" t="s">
        <v>58</v>
      </c>
      <c r="G31" s="9">
        <f>VLOOKUP($A$4,zone_lu,4)</f>
        <v>95</v>
      </c>
      <c r="H31" s="10">
        <f t="shared" si="1"/>
        <v>6840</v>
      </c>
    </row>
    <row r="32" spans="3:8" x14ac:dyDescent="0.25">
      <c r="C32" s="23" t="s">
        <v>113</v>
      </c>
      <c r="F32" s="41"/>
      <c r="G32" s="9"/>
      <c r="H32" s="37"/>
    </row>
    <row r="33" spans="2:9" x14ac:dyDescent="0.25">
      <c r="D33" t="s">
        <v>64</v>
      </c>
      <c r="F33" s="41"/>
      <c r="G33" s="9"/>
      <c r="H33" s="39" t="s">
        <v>118</v>
      </c>
    </row>
    <row r="34" spans="2:9" x14ac:dyDescent="0.25">
      <c r="D34" t="s">
        <v>54</v>
      </c>
      <c r="F34" s="41"/>
      <c r="G34" s="9"/>
      <c r="H34" s="39" t="s">
        <v>118</v>
      </c>
    </row>
    <row r="35" spans="2:9" x14ac:dyDescent="0.25">
      <c r="E35" s="11"/>
      <c r="F35" s="42"/>
      <c r="G35" s="12"/>
      <c r="H35" s="13">
        <f>SUBTOTAL(9,H12:H34)</f>
        <v>41280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42540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0.2</v>
      </c>
      <c r="F39" s="41"/>
      <c r="G39" s="9"/>
      <c r="H39" s="10">
        <f>ROUND(H37*E39,0)</f>
        <v>8508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5105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702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0.08</v>
      </c>
      <c r="F45" s="41"/>
      <c r="G45" s="9"/>
      <c r="H45" s="10">
        <f>ROUND(SUM(H37:H44)*E45,0)</f>
        <v>4548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61403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2">
    <tabColor theme="7"/>
  </sheetPr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>
        <v>4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8</v>
      </c>
      <c r="F8" s="41" t="s">
        <v>58</v>
      </c>
      <c r="G8" s="9">
        <f>VLOOKUP($A$4,zone_lu,4)</f>
        <v>95</v>
      </c>
      <c r="H8" s="10">
        <f>E8*G8</f>
        <v>760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1260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:H31" si="1">E18*G18</f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1800</v>
      </c>
      <c r="H19" s="10">
        <f t="shared" si="1"/>
        <v>14400</v>
      </c>
    </row>
    <row r="20" spans="3:8" ht="30" x14ac:dyDescent="0.25">
      <c r="D20" s="24" t="s">
        <v>93</v>
      </c>
      <c r="E20" s="1"/>
      <c r="F20" s="41"/>
      <c r="G20" s="9"/>
      <c r="H20" s="10">
        <f t="shared" si="1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1"/>
        <v>3200</v>
      </c>
    </row>
    <row r="24" spans="3:8" x14ac:dyDescent="0.25">
      <c r="D24" t="s">
        <v>54</v>
      </c>
      <c r="E24">
        <f>8*24</f>
        <v>192</v>
      </c>
      <c r="F24" s="41" t="s">
        <v>58</v>
      </c>
      <c r="G24" s="9">
        <f>VLOOKUP($A$4,zone_lu,4)</f>
        <v>95</v>
      </c>
      <c r="H24" s="10">
        <f t="shared" si="1"/>
        <v>18240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200</v>
      </c>
      <c r="H26" s="10">
        <f t="shared" si="1"/>
        <v>1600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1"/>
        <v>1000</v>
      </c>
    </row>
    <row r="29" spans="3:8" x14ac:dyDescent="0.25">
      <c r="D29" t="s">
        <v>136</v>
      </c>
      <c r="E29">
        <v>1</v>
      </c>
      <c r="F29" s="41" t="s">
        <v>62</v>
      </c>
      <c r="G29" s="9">
        <v>800</v>
      </c>
      <c r="H29" s="10">
        <f t="shared" si="1"/>
        <v>800</v>
      </c>
    </row>
    <row r="30" spans="3:8" x14ac:dyDescent="0.25">
      <c r="D30" t="s">
        <v>137</v>
      </c>
      <c r="F30" s="41"/>
      <c r="G30" s="9"/>
      <c r="H30" s="39" t="s">
        <v>118</v>
      </c>
    </row>
    <row r="31" spans="3:8" x14ac:dyDescent="0.25">
      <c r="D31" t="s">
        <v>54</v>
      </c>
      <c r="E31">
        <v>72</v>
      </c>
      <c r="F31" s="41" t="s">
        <v>58</v>
      </c>
      <c r="G31" s="9">
        <f>VLOOKUP($A$4,zone_lu,4)</f>
        <v>95</v>
      </c>
      <c r="H31" s="10">
        <f t="shared" si="1"/>
        <v>6840</v>
      </c>
    </row>
    <row r="32" spans="3:8" x14ac:dyDescent="0.25">
      <c r="C32" s="23" t="s">
        <v>113</v>
      </c>
      <c r="F32" s="41"/>
      <c r="G32" s="9"/>
      <c r="H32" s="37"/>
    </row>
    <row r="33" spans="2:9" x14ac:dyDescent="0.25">
      <c r="D33" t="s">
        <v>64</v>
      </c>
      <c r="F33" s="41"/>
      <c r="G33" s="9"/>
      <c r="H33" s="39" t="s">
        <v>118</v>
      </c>
    </row>
    <row r="34" spans="2:9" x14ac:dyDescent="0.25">
      <c r="D34" t="s">
        <v>54</v>
      </c>
      <c r="F34" s="41"/>
      <c r="G34" s="9"/>
      <c r="H34" s="39" t="s">
        <v>118</v>
      </c>
    </row>
    <row r="35" spans="2:9" x14ac:dyDescent="0.25">
      <c r="E35" s="11"/>
      <c r="F35" s="42"/>
      <c r="G35" s="12"/>
      <c r="H35" s="13">
        <f>SUBTOTAL(9,H12:H34)</f>
        <v>46080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47340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0.18</v>
      </c>
      <c r="F39" s="41"/>
      <c r="G39" s="9"/>
      <c r="H39" s="10">
        <f>ROUND(H37*E39,0)</f>
        <v>8521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5586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768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0.05</v>
      </c>
      <c r="F45" s="41"/>
      <c r="G45" s="9"/>
      <c r="H45" s="10">
        <f>ROUND(SUM(H37:H44)*E45,0)</f>
        <v>3111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65326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O49"/>
  <sheetViews>
    <sheetView showGridLines="0" workbookViewId="0">
      <selection activeCell="H19" sqref="H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1"/>
      <c r="G3" s="9"/>
      <c r="H3" s="8"/>
    </row>
    <row r="4" spans="1:15" ht="14.45" customHeight="1" x14ac:dyDescent="0.25">
      <c r="A4" s="52">
        <v>4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118</v>
      </c>
    </row>
    <row r="8" spans="1:15" x14ac:dyDescent="0.25">
      <c r="D8" t="s">
        <v>54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8</v>
      </c>
      <c r="F14" s="41" t="s">
        <v>62</v>
      </c>
      <c r="G14" s="29">
        <v>1200</v>
      </c>
      <c r="H14" s="10">
        <f t="shared" si="0"/>
        <v>9600</v>
      </c>
    </row>
    <row r="15" spans="1:15" x14ac:dyDescent="0.25">
      <c r="D15" s="22" t="s">
        <v>78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t="s">
        <v>54</v>
      </c>
      <c r="E17">
        <f>6*16</f>
        <v>96</v>
      </c>
      <c r="F17" s="41" t="s">
        <v>58</v>
      </c>
      <c r="G17" s="9">
        <f>VLOOKUP($A$4,zone_lu,4)</f>
        <v>95</v>
      </c>
      <c r="H17" s="10">
        <f t="shared" si="0"/>
        <v>9120</v>
      </c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3500</v>
      </c>
      <c r="H19" s="10">
        <f t="shared" si="0"/>
        <v>28000</v>
      </c>
    </row>
    <row r="20" spans="3:8" x14ac:dyDescent="0.25">
      <c r="D20" s="22" t="s">
        <v>65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95</v>
      </c>
      <c r="H24" s="10">
        <f t="shared" si="0"/>
        <v>9120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75</v>
      </c>
      <c r="H28" s="10">
        <f t="shared" si="0"/>
        <v>1200</v>
      </c>
    </row>
    <row r="29" spans="3:8" x14ac:dyDescent="0.25">
      <c r="D29" t="s">
        <v>136</v>
      </c>
      <c r="F29" s="41" t="s">
        <v>62</v>
      </c>
      <c r="G29" s="9"/>
      <c r="H29" s="38" t="s">
        <v>118</v>
      </c>
    </row>
    <row r="30" spans="3:8" x14ac:dyDescent="0.25">
      <c r="D30" t="s">
        <v>137</v>
      </c>
      <c r="E30">
        <v>240</v>
      </c>
      <c r="F30" s="41" t="s">
        <v>67</v>
      </c>
      <c r="G30" s="9">
        <v>3</v>
      </c>
      <c r="H30" s="10">
        <f t="shared" si="0"/>
        <v>720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95</v>
      </c>
      <c r="H31" s="10">
        <f t="shared" si="0"/>
        <v>9120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79280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79280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0.11</v>
      </c>
      <c r="F39" s="41"/>
      <c r="G39" s="9"/>
      <c r="H39" s="10">
        <f>ROUND(H37*E39,0)</f>
        <v>8721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3520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1144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92665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0">
    <tabColor theme="7"/>
  </sheetPr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>
        <v>6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8</v>
      </c>
      <c r="F8" s="41" t="s">
        <v>58</v>
      </c>
      <c r="G8" s="9">
        <f>VLOOKUP($A$4,zone_lu,4)</f>
        <v>85</v>
      </c>
      <c r="H8" s="10">
        <f>E8*G8</f>
        <v>680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1180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:H31" si="1">E18*G18</f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1500</v>
      </c>
      <c r="H19" s="10">
        <f t="shared" si="1"/>
        <v>12000</v>
      </c>
    </row>
    <row r="20" spans="3:8" ht="30" x14ac:dyDescent="0.25">
      <c r="D20" s="24" t="s">
        <v>90</v>
      </c>
      <c r="E20" s="1"/>
      <c r="F20" s="41"/>
      <c r="G20" s="9"/>
      <c r="H20" s="10">
        <f t="shared" si="1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1"/>
        <v>3200</v>
      </c>
    </row>
    <row r="24" spans="3:8" x14ac:dyDescent="0.25">
      <c r="D24" t="s">
        <v>54</v>
      </c>
      <c r="E24">
        <f>8*24</f>
        <v>192</v>
      </c>
      <c r="F24" s="41" t="s">
        <v>58</v>
      </c>
      <c r="G24" s="9">
        <f>VLOOKUP($A$4,zone_lu,4)</f>
        <v>85</v>
      </c>
      <c r="H24" s="10">
        <f t="shared" si="1"/>
        <v>16320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200</v>
      </c>
      <c r="H26" s="10">
        <f t="shared" si="1"/>
        <v>1600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1"/>
        <v>1000</v>
      </c>
    </row>
    <row r="29" spans="3:8" x14ac:dyDescent="0.25">
      <c r="D29" t="s">
        <v>136</v>
      </c>
      <c r="E29">
        <v>1</v>
      </c>
      <c r="F29" s="41" t="s">
        <v>62</v>
      </c>
      <c r="G29" s="9">
        <v>800</v>
      </c>
      <c r="H29" s="10">
        <f t="shared" si="1"/>
        <v>800</v>
      </c>
    </row>
    <row r="30" spans="3:8" x14ac:dyDescent="0.25">
      <c r="D30" t="s">
        <v>137</v>
      </c>
      <c r="F30" s="41"/>
      <c r="G30" s="9"/>
      <c r="H30" s="39" t="s">
        <v>118</v>
      </c>
    </row>
    <row r="31" spans="3:8" x14ac:dyDescent="0.25">
      <c r="D31" t="s">
        <v>54</v>
      </c>
      <c r="E31">
        <v>72</v>
      </c>
      <c r="F31" s="41" t="s">
        <v>58</v>
      </c>
      <c r="G31" s="9">
        <f>VLOOKUP($A$4,zone_lu,4)</f>
        <v>85</v>
      </c>
      <c r="H31" s="10">
        <f t="shared" si="1"/>
        <v>6120</v>
      </c>
    </row>
    <row r="32" spans="3:8" x14ac:dyDescent="0.25">
      <c r="C32" s="23" t="s">
        <v>113</v>
      </c>
      <c r="F32" s="41"/>
      <c r="G32" s="9"/>
      <c r="H32" s="37"/>
    </row>
    <row r="33" spans="2:9" x14ac:dyDescent="0.25">
      <c r="D33" t="s">
        <v>64</v>
      </c>
      <c r="F33" s="41"/>
      <c r="G33" s="9"/>
      <c r="H33" s="39" t="s">
        <v>118</v>
      </c>
    </row>
    <row r="34" spans="2:9" x14ac:dyDescent="0.25">
      <c r="D34" t="s">
        <v>54</v>
      </c>
      <c r="F34" s="41"/>
      <c r="G34" s="9"/>
      <c r="H34" s="39" t="s">
        <v>118</v>
      </c>
    </row>
    <row r="35" spans="2:9" x14ac:dyDescent="0.25">
      <c r="E35" s="11"/>
      <c r="F35" s="42"/>
      <c r="G35" s="12"/>
      <c r="H35" s="13">
        <f>SUBTOTAL(9,H12:H34)</f>
        <v>41040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42220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6333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4855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668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0.02</v>
      </c>
      <c r="F45" s="41"/>
      <c r="G45" s="9"/>
      <c r="H45" s="10">
        <f>ROUND(SUM(H37:H44)*E45,0)</f>
        <v>1082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55158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4">
    <tabColor theme="7"/>
  </sheetPr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>
        <v>9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8</v>
      </c>
      <c r="F8" s="41" t="s">
        <v>58</v>
      </c>
      <c r="G8" s="9">
        <f>VLOOKUP($A$4,zone_lu,4)</f>
        <v>85</v>
      </c>
      <c r="H8" s="10">
        <f>E8*G8</f>
        <v>680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1180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:H31" si="1">E18*G18</f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1800</v>
      </c>
      <c r="H19" s="10">
        <f t="shared" si="1"/>
        <v>14400</v>
      </c>
    </row>
    <row r="20" spans="3:8" ht="30" x14ac:dyDescent="0.25">
      <c r="D20" s="24" t="s">
        <v>93</v>
      </c>
      <c r="E20" s="1"/>
      <c r="F20" s="41"/>
      <c r="G20" s="9"/>
      <c r="H20" s="10">
        <f t="shared" si="1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1"/>
        <v>3200</v>
      </c>
    </row>
    <row r="24" spans="3:8" x14ac:dyDescent="0.25">
      <c r="D24" t="s">
        <v>54</v>
      </c>
      <c r="E24">
        <f>8*24</f>
        <v>192</v>
      </c>
      <c r="F24" s="41" t="s">
        <v>58</v>
      </c>
      <c r="G24" s="9">
        <f>VLOOKUP($A$4,zone_lu,4)</f>
        <v>85</v>
      </c>
      <c r="H24" s="10">
        <f t="shared" si="1"/>
        <v>16320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200</v>
      </c>
      <c r="H26" s="10">
        <f t="shared" si="1"/>
        <v>1600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1"/>
        <v>1000</v>
      </c>
    </row>
    <row r="29" spans="3:8" x14ac:dyDescent="0.25">
      <c r="D29" t="s">
        <v>136</v>
      </c>
      <c r="E29">
        <v>1</v>
      </c>
      <c r="F29" s="41" t="s">
        <v>62</v>
      </c>
      <c r="G29" s="9">
        <v>800</v>
      </c>
      <c r="H29" s="10">
        <f t="shared" si="1"/>
        <v>800</v>
      </c>
    </row>
    <row r="30" spans="3:8" x14ac:dyDescent="0.25">
      <c r="D30" t="s">
        <v>137</v>
      </c>
      <c r="F30" s="41"/>
      <c r="G30" s="9"/>
      <c r="H30" s="39" t="s">
        <v>118</v>
      </c>
    </row>
    <row r="31" spans="3:8" x14ac:dyDescent="0.25">
      <c r="D31" t="s">
        <v>54</v>
      </c>
      <c r="E31">
        <v>72</v>
      </c>
      <c r="F31" s="41" t="s">
        <v>58</v>
      </c>
      <c r="G31" s="9">
        <f>VLOOKUP($A$4,zone_lu,4)</f>
        <v>85</v>
      </c>
      <c r="H31" s="10">
        <f t="shared" si="1"/>
        <v>6120</v>
      </c>
    </row>
    <row r="32" spans="3:8" x14ac:dyDescent="0.25">
      <c r="C32" t="s">
        <v>113</v>
      </c>
      <c r="F32" s="41"/>
      <c r="G32" s="9"/>
      <c r="H32" s="37"/>
    </row>
    <row r="33" spans="2:9" x14ac:dyDescent="0.25">
      <c r="D33" t="s">
        <v>64</v>
      </c>
      <c r="F33" s="41"/>
      <c r="G33" s="9"/>
      <c r="H33" s="39" t="s">
        <v>118</v>
      </c>
    </row>
    <row r="34" spans="2:9" x14ac:dyDescent="0.25">
      <c r="D34" t="s">
        <v>54</v>
      </c>
      <c r="F34" s="41"/>
      <c r="G34" s="9"/>
      <c r="H34" s="39" t="s">
        <v>118</v>
      </c>
    </row>
    <row r="35" spans="2:9" x14ac:dyDescent="0.25">
      <c r="E35" s="11"/>
      <c r="F35" s="42"/>
      <c r="G35" s="12"/>
      <c r="H35" s="13">
        <f>SUBTOTAL(9,H12:H34)</f>
        <v>43440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44620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6693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5131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706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0.02</v>
      </c>
      <c r="F45" s="41"/>
      <c r="G45" s="9"/>
      <c r="H45" s="10">
        <f>ROUND(SUM(H37:H44)*E45,0)</f>
        <v>1143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58293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6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>
        <v>10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8</v>
      </c>
      <c r="F8" s="41" t="s">
        <v>58</v>
      </c>
      <c r="G8" s="9">
        <f>VLOOKUP($A$4,zone_lu,4)</f>
        <v>70</v>
      </c>
      <c r="H8" s="10">
        <f>E8*G8</f>
        <v>560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1060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:H31" si="1">E18*G18</f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2200</v>
      </c>
      <c r="H19" s="10">
        <f t="shared" si="1"/>
        <v>17600</v>
      </c>
    </row>
    <row r="20" spans="3:8" ht="28.15" customHeight="1" x14ac:dyDescent="0.25">
      <c r="D20" s="24" t="s">
        <v>95</v>
      </c>
      <c r="E20" s="1"/>
      <c r="F20" s="41"/>
      <c r="G20" s="9"/>
      <c r="H20" s="10">
        <f t="shared" si="1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1"/>
        <v>3200</v>
      </c>
    </row>
    <row r="24" spans="3:8" x14ac:dyDescent="0.25">
      <c r="D24" t="s">
        <v>54</v>
      </c>
      <c r="E24">
        <f>8*24</f>
        <v>192</v>
      </c>
      <c r="F24" s="41" t="s">
        <v>58</v>
      </c>
      <c r="G24" s="9">
        <f>VLOOKUP($A$4,zone_lu,4)</f>
        <v>70</v>
      </c>
      <c r="H24" s="10">
        <f t="shared" si="1"/>
        <v>13440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200</v>
      </c>
      <c r="H26" s="10">
        <f t="shared" si="1"/>
        <v>1600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1"/>
        <v>1000</v>
      </c>
    </row>
    <row r="29" spans="3:8" x14ac:dyDescent="0.25">
      <c r="D29" t="s">
        <v>136</v>
      </c>
      <c r="E29">
        <v>1</v>
      </c>
      <c r="F29" s="41" t="s">
        <v>62</v>
      </c>
      <c r="G29" s="9">
        <v>800</v>
      </c>
      <c r="H29" s="10">
        <f t="shared" si="1"/>
        <v>800</v>
      </c>
    </row>
    <row r="30" spans="3:8" x14ac:dyDescent="0.25">
      <c r="D30" t="s">
        <v>137</v>
      </c>
      <c r="F30" s="41"/>
      <c r="G30" s="9"/>
      <c r="H30" s="39" t="s">
        <v>118</v>
      </c>
    </row>
    <row r="31" spans="3:8" x14ac:dyDescent="0.25">
      <c r="D31" t="s">
        <v>54</v>
      </c>
      <c r="E31">
        <v>72</v>
      </c>
      <c r="F31" s="41" t="s">
        <v>58</v>
      </c>
      <c r="G31" s="9">
        <f>VLOOKUP($A$4,zone_lu,4)</f>
        <v>70</v>
      </c>
      <c r="H31" s="10">
        <f t="shared" si="1"/>
        <v>5040</v>
      </c>
    </row>
    <row r="32" spans="3:8" x14ac:dyDescent="0.25">
      <c r="C32" t="s">
        <v>113</v>
      </c>
      <c r="F32" s="41"/>
      <c r="G32" s="9"/>
      <c r="H32" s="37"/>
    </row>
    <row r="33" spans="2:9" x14ac:dyDescent="0.25">
      <c r="D33" t="s">
        <v>64</v>
      </c>
      <c r="F33" s="41"/>
      <c r="G33" s="9"/>
      <c r="H33" s="39" t="s">
        <v>118</v>
      </c>
    </row>
    <row r="34" spans="2:9" x14ac:dyDescent="0.25">
      <c r="D34" t="s">
        <v>54</v>
      </c>
      <c r="F34" s="41"/>
      <c r="G34" s="9"/>
      <c r="H34" s="39" t="s">
        <v>118</v>
      </c>
    </row>
    <row r="35" spans="2:9" x14ac:dyDescent="0.25">
      <c r="E35" s="11"/>
      <c r="F35" s="42"/>
      <c r="G35" s="12"/>
      <c r="H35" s="13">
        <f>SUBTOTAL(9,H12:H34)</f>
        <v>42680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43740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6561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5030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692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</v>
      </c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56023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38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F1" s="41"/>
      <c r="G1" s="9"/>
      <c r="H1" s="8"/>
      <c r="O1" t="str">
        <f>A1&amp;": "&amp;A2</f>
        <v>Low 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>
        <v>12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8"/>
    </row>
    <row r="8" spans="1:15" x14ac:dyDescent="0.25">
      <c r="D8" t="s">
        <v>54</v>
      </c>
      <c r="E8">
        <v>8</v>
      </c>
      <c r="F8" s="41" t="s">
        <v>58</v>
      </c>
      <c r="G8" s="9">
        <f>VLOOKUP($A$4,zone_lu,4)</f>
        <v>65</v>
      </c>
      <c r="H8" s="10">
        <f>E8*G8</f>
        <v>520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8" si="0">E9*G9</f>
        <v>500</v>
      </c>
    </row>
    <row r="10" spans="1:15" x14ac:dyDescent="0.25">
      <c r="E10" s="11"/>
      <c r="F10" s="42"/>
      <c r="G10" s="12"/>
      <c r="H10" s="13">
        <f>SUBTOTAL(9,H6:H9)</f>
        <v>1020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39" t="s">
        <v>123</v>
      </c>
    </row>
    <row r="14" spans="1:15" x14ac:dyDescent="0.25">
      <c r="D14" t="s">
        <v>61</v>
      </c>
      <c r="F14" s="41"/>
      <c r="G14" s="28"/>
      <c r="H14" s="10"/>
    </row>
    <row r="15" spans="1:15" x14ac:dyDescent="0.25">
      <c r="D15" s="22" t="s">
        <v>73</v>
      </c>
      <c r="F15" s="41"/>
      <c r="G15" s="10"/>
      <c r="H15" s="10"/>
    </row>
    <row r="16" spans="1:15" x14ac:dyDescent="0.25">
      <c r="D16" t="s">
        <v>64</v>
      </c>
      <c r="F16" s="41"/>
      <c r="G16" s="10"/>
      <c r="H16" s="10"/>
    </row>
    <row r="17" spans="3:8" x14ac:dyDescent="0.25">
      <c r="D17" t="s">
        <v>54</v>
      </c>
      <c r="F17" s="41"/>
      <c r="G17" s="10"/>
      <c r="H17" s="10"/>
    </row>
    <row r="18" spans="3:8" x14ac:dyDescent="0.25">
      <c r="C18" t="s">
        <v>52</v>
      </c>
      <c r="F18" s="41"/>
      <c r="G18" s="9"/>
      <c r="H18" s="10">
        <f t="shared" ref="H18:H31" si="1">E18*G18</f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2200</v>
      </c>
      <c r="H19" s="10">
        <f t="shared" si="1"/>
        <v>17600</v>
      </c>
    </row>
    <row r="20" spans="3:8" ht="29.45" customHeight="1" x14ac:dyDescent="0.25">
      <c r="D20" s="24" t="s">
        <v>95</v>
      </c>
      <c r="E20" s="1"/>
      <c r="F20" s="41"/>
      <c r="G20" s="9"/>
      <c r="H20" s="10">
        <f t="shared" si="1"/>
        <v>0</v>
      </c>
    </row>
    <row r="21" spans="3:8" x14ac:dyDescent="0.25">
      <c r="D21" s="15" t="s">
        <v>68</v>
      </c>
      <c r="F21" s="41"/>
      <c r="G21" s="9"/>
      <c r="H21" s="39" t="s">
        <v>118</v>
      </c>
    </row>
    <row r="22" spans="3:8" x14ac:dyDescent="0.25">
      <c r="D22" s="15" t="s">
        <v>120</v>
      </c>
      <c r="F22" s="41"/>
      <c r="G22" s="9"/>
      <c r="H22" s="39" t="s">
        <v>118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1"/>
        <v>3200</v>
      </c>
    </row>
    <row r="24" spans="3:8" x14ac:dyDescent="0.25">
      <c r="D24" t="s">
        <v>54</v>
      </c>
      <c r="E24">
        <f>8*24</f>
        <v>192</v>
      </c>
      <c r="F24" s="41" t="s">
        <v>58</v>
      </c>
      <c r="G24" s="9">
        <f>VLOOKUP($A$4,zone_lu,4)</f>
        <v>65</v>
      </c>
      <c r="H24" s="10">
        <f t="shared" si="1"/>
        <v>12480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200</v>
      </c>
      <c r="H26" s="10">
        <f t="shared" si="1"/>
        <v>1600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8</v>
      </c>
      <c r="F28" s="41" t="s">
        <v>62</v>
      </c>
      <c r="G28" s="9">
        <v>125</v>
      </c>
      <c r="H28" s="10">
        <f t="shared" si="1"/>
        <v>1000</v>
      </c>
    </row>
    <row r="29" spans="3:8" x14ac:dyDescent="0.25">
      <c r="D29" t="s">
        <v>136</v>
      </c>
      <c r="E29">
        <v>1</v>
      </c>
      <c r="F29" s="41" t="s">
        <v>62</v>
      </c>
      <c r="G29" s="9">
        <v>800</v>
      </c>
      <c r="H29" s="10">
        <f t="shared" si="1"/>
        <v>800</v>
      </c>
    </row>
    <row r="30" spans="3:8" x14ac:dyDescent="0.25">
      <c r="D30" t="s">
        <v>137</v>
      </c>
      <c r="F30" s="41"/>
      <c r="G30" s="9"/>
      <c r="H30" s="39" t="s">
        <v>118</v>
      </c>
    </row>
    <row r="31" spans="3:8" x14ac:dyDescent="0.25">
      <c r="D31" t="s">
        <v>54</v>
      </c>
      <c r="E31">
        <v>72</v>
      </c>
      <c r="F31" s="41" t="s">
        <v>58</v>
      </c>
      <c r="G31" s="9">
        <f>VLOOKUP($A$4,zone_lu,4)</f>
        <v>65</v>
      </c>
      <c r="H31" s="10">
        <f t="shared" si="1"/>
        <v>4680</v>
      </c>
    </row>
    <row r="32" spans="3:8" x14ac:dyDescent="0.25">
      <c r="C32" t="s">
        <v>113</v>
      </c>
      <c r="F32" s="41"/>
      <c r="G32" s="9"/>
      <c r="H32" s="37"/>
    </row>
    <row r="33" spans="2:9" x14ac:dyDescent="0.25">
      <c r="D33" t="s">
        <v>64</v>
      </c>
      <c r="F33" s="41"/>
      <c r="G33" s="9"/>
      <c r="H33" s="39" t="s">
        <v>118</v>
      </c>
    </row>
    <row r="34" spans="2:9" x14ac:dyDescent="0.25">
      <c r="D34" t="s">
        <v>54</v>
      </c>
      <c r="F34" s="41"/>
      <c r="G34" s="9"/>
      <c r="H34" s="39" t="s">
        <v>118</v>
      </c>
    </row>
    <row r="35" spans="2:9" x14ac:dyDescent="0.25">
      <c r="E35" s="11"/>
      <c r="F35" s="42"/>
      <c r="G35" s="12"/>
      <c r="H35" s="13">
        <f>SUBTOTAL(9,H12:H34)</f>
        <v>41360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42380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0.15</v>
      </c>
      <c r="F39" s="41"/>
      <c r="G39" s="9"/>
      <c r="H39" s="10">
        <f>ROUND(H37*E39,0)</f>
        <v>6357</v>
      </c>
      <c r="I39" s="10">
        <f>ROUND(I37*F39,0)</f>
        <v>0</v>
      </c>
    </row>
    <row r="40" spans="2:9" x14ac:dyDescent="0.25">
      <c r="E40" s="47"/>
      <c r="F40" s="41"/>
      <c r="G40" s="9"/>
      <c r="H40" s="10"/>
      <c r="I40" s="10"/>
    </row>
    <row r="41" spans="2:9" x14ac:dyDescent="0.25">
      <c r="B41" t="s">
        <v>109</v>
      </c>
      <c r="E41" s="47">
        <f>VLOOKUP($A$4,zone_lu,6)</f>
        <v>0.1</v>
      </c>
      <c r="F41" s="41"/>
      <c r="G41" s="9"/>
      <c r="H41" s="10">
        <f>ROUND(SUM(H37:H40)*E41,0)</f>
        <v>4874</v>
      </c>
      <c r="I41" s="10"/>
    </row>
    <row r="42" spans="2:9" x14ac:dyDescent="0.25">
      <c r="E42" s="47"/>
      <c r="F42" s="41"/>
      <c r="G42" s="9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F43" s="41"/>
      <c r="G43" s="9"/>
      <c r="H43" s="10">
        <f>ROUND(SUM(H37:H42)*E43,0)</f>
        <v>670</v>
      </c>
      <c r="I43" s="10"/>
    </row>
    <row r="44" spans="2:9" x14ac:dyDescent="0.25">
      <c r="E44" s="47"/>
      <c r="F44" s="41"/>
      <c r="G44" s="9"/>
      <c r="H44" s="10"/>
      <c r="I44" s="10"/>
    </row>
    <row r="45" spans="2:9" x14ac:dyDescent="0.25">
      <c r="B45" t="s">
        <v>111</v>
      </c>
      <c r="E45" s="47">
        <f>VLOOKUP($A$4,zone_lu,8)</f>
        <v>0</v>
      </c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54281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74">
    <tabColor rgb="FFFF0000"/>
  </sheetPr>
  <dimension ref="A1:O44"/>
  <sheetViews>
    <sheetView showGridLines="0" topLeftCell="A2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2" t="s">
        <v>56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ht="14.45" x14ac:dyDescent="0.3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75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 t="s">
        <v>56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76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77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87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88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1"/>
      <c r="G3" s="9"/>
      <c r="H3" s="8"/>
    </row>
    <row r="4" spans="1:15" ht="14.45" customHeight="1" x14ac:dyDescent="0.25">
      <c r="A4" s="52">
        <v>6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118</v>
      </c>
    </row>
    <row r="8" spans="1:15" x14ac:dyDescent="0.25">
      <c r="D8" t="s">
        <v>54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8</v>
      </c>
      <c r="F14" s="41" t="s">
        <v>62</v>
      </c>
      <c r="G14" s="29">
        <v>1200</v>
      </c>
      <c r="H14" s="10">
        <f t="shared" si="0"/>
        <v>9600</v>
      </c>
    </row>
    <row r="15" spans="1:15" x14ac:dyDescent="0.25">
      <c r="D15" s="22" t="s">
        <v>79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t="s">
        <v>54</v>
      </c>
      <c r="E17">
        <v>96</v>
      </c>
      <c r="F17" s="41" t="s">
        <v>58</v>
      </c>
      <c r="G17" s="9">
        <f>VLOOKUP($A$4,zone_lu,4)</f>
        <v>85</v>
      </c>
      <c r="H17" s="10">
        <f t="shared" si="0"/>
        <v>8160</v>
      </c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2700</v>
      </c>
      <c r="H19" s="10">
        <f t="shared" si="0"/>
        <v>21600</v>
      </c>
    </row>
    <row r="20" spans="3:8" x14ac:dyDescent="0.25">
      <c r="D20" s="22" t="s">
        <v>80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85</v>
      </c>
      <c r="H24" s="10">
        <f t="shared" si="0"/>
        <v>8160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75</v>
      </c>
      <c r="H28" s="10">
        <f t="shared" si="0"/>
        <v>1200</v>
      </c>
    </row>
    <row r="29" spans="3:8" x14ac:dyDescent="0.25">
      <c r="D29" t="s">
        <v>136</v>
      </c>
      <c r="F29" s="41" t="s">
        <v>62</v>
      </c>
      <c r="G29" s="9"/>
      <c r="H29" s="38" t="s">
        <v>118</v>
      </c>
    </row>
    <row r="30" spans="3:8" x14ac:dyDescent="0.25">
      <c r="D30" t="s">
        <v>137</v>
      </c>
      <c r="E30">
        <v>240</v>
      </c>
      <c r="F30" s="41" t="s">
        <v>67</v>
      </c>
      <c r="G30" s="9">
        <v>3</v>
      </c>
      <c r="H30" s="10">
        <f t="shared" si="0"/>
        <v>720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85</v>
      </c>
      <c r="H31" s="10">
        <f t="shared" si="0"/>
        <v>8160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70000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70000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0.09</v>
      </c>
      <c r="F39" s="41"/>
      <c r="G39" s="9"/>
      <c r="H39" s="10">
        <f>ROUND(H37*E39,0)</f>
        <v>6300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3052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992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80344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89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90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91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92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93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94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New Construction</v>
      </c>
    </row>
    <row r="2" spans="1:15" x14ac:dyDescent="0.25">
      <c r="A2" t="s">
        <v>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78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 t="s">
        <v>56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79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 t="s">
        <v>56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80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81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1"/>
      <c r="G3" s="9"/>
      <c r="H3" s="8"/>
    </row>
    <row r="4" spans="1:15" ht="14.45" customHeight="1" x14ac:dyDescent="0.25">
      <c r="A4" s="52">
        <v>9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118</v>
      </c>
    </row>
    <row r="8" spans="1:15" x14ac:dyDescent="0.25">
      <c r="D8" t="s">
        <v>54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8</v>
      </c>
      <c r="F14" s="41" t="s">
        <v>62</v>
      </c>
      <c r="G14" s="29">
        <v>1200</v>
      </c>
      <c r="H14" s="10">
        <f t="shared" si="0"/>
        <v>9600</v>
      </c>
    </row>
    <row r="15" spans="1:15" x14ac:dyDescent="0.25">
      <c r="D15" s="22" t="s">
        <v>79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t="s">
        <v>54</v>
      </c>
      <c r="E17">
        <v>96</v>
      </c>
      <c r="F17" s="41" t="s">
        <v>58</v>
      </c>
      <c r="G17" s="9">
        <f>VLOOKUP($A$4,zone_lu,4)</f>
        <v>85</v>
      </c>
      <c r="H17" s="10">
        <f t="shared" si="0"/>
        <v>8160</v>
      </c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3500</v>
      </c>
      <c r="H19" s="10">
        <f t="shared" si="0"/>
        <v>28000</v>
      </c>
    </row>
    <row r="20" spans="3:8" x14ac:dyDescent="0.25">
      <c r="D20" s="22" t="s">
        <v>65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85</v>
      </c>
      <c r="H24" s="10">
        <f t="shared" si="0"/>
        <v>8160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75</v>
      </c>
      <c r="H28" s="10">
        <f t="shared" si="0"/>
        <v>1200</v>
      </c>
    </row>
    <row r="29" spans="3:8" x14ac:dyDescent="0.25">
      <c r="D29" t="s">
        <v>136</v>
      </c>
      <c r="F29" s="41" t="s">
        <v>62</v>
      </c>
      <c r="G29" s="9"/>
      <c r="H29" s="38" t="s">
        <v>118</v>
      </c>
    </row>
    <row r="30" spans="3:8" x14ac:dyDescent="0.25">
      <c r="D30" t="s">
        <v>137</v>
      </c>
      <c r="E30">
        <v>240</v>
      </c>
      <c r="F30" s="41" t="s">
        <v>67</v>
      </c>
      <c r="G30" s="9">
        <v>3</v>
      </c>
      <c r="H30" s="10">
        <f t="shared" si="0"/>
        <v>720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85</v>
      </c>
      <c r="H31" s="10">
        <f t="shared" si="0"/>
        <v>8160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76400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76400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0.09</v>
      </c>
      <c r="F39" s="41"/>
      <c r="G39" s="9"/>
      <c r="H39" s="10">
        <f>ROUND(H37*E39,0)</f>
        <v>6876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3331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1083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87690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95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96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98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97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99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Sheet100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101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102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1990's</v>
      </c>
    </row>
    <row r="2" spans="1:15" x14ac:dyDescent="0.25">
      <c r="A2" t="s">
        <v>10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82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 t="s">
        <v>56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83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 t="s">
        <v>56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1"/>
      <c r="G3" s="9"/>
      <c r="H3" s="8"/>
    </row>
    <row r="4" spans="1:15" ht="14.45" customHeight="1" x14ac:dyDescent="0.25">
      <c r="A4" s="52">
        <v>10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118</v>
      </c>
    </row>
    <row r="8" spans="1:15" x14ac:dyDescent="0.25">
      <c r="D8" t="s">
        <v>54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8</v>
      </c>
      <c r="F14" s="41" t="s">
        <v>62</v>
      </c>
      <c r="G14" s="29">
        <v>1400</v>
      </c>
      <c r="H14" s="10">
        <f t="shared" si="0"/>
        <v>11200</v>
      </c>
    </row>
    <row r="15" spans="1:15" x14ac:dyDescent="0.25">
      <c r="D15" s="22" t="s">
        <v>82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t="s">
        <v>54</v>
      </c>
      <c r="E17">
        <v>96</v>
      </c>
      <c r="F17" s="41" t="s">
        <v>58</v>
      </c>
      <c r="G17" s="9">
        <f>VLOOKUP($A$4,zone_lu,4)</f>
        <v>70</v>
      </c>
      <c r="H17" s="10">
        <f t="shared" si="0"/>
        <v>6720</v>
      </c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3800</v>
      </c>
      <c r="H19" s="10">
        <f t="shared" si="0"/>
        <v>30400</v>
      </c>
    </row>
    <row r="20" spans="3:8" x14ac:dyDescent="0.25">
      <c r="D20" s="22" t="s">
        <v>75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70</v>
      </c>
      <c r="H24" s="10">
        <f t="shared" si="0"/>
        <v>6720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75</v>
      </c>
      <c r="H28" s="10">
        <f t="shared" si="0"/>
        <v>1200</v>
      </c>
    </row>
    <row r="29" spans="3:8" x14ac:dyDescent="0.25">
      <c r="D29" t="s">
        <v>136</v>
      </c>
      <c r="F29" s="41" t="s">
        <v>62</v>
      </c>
      <c r="G29" s="9"/>
      <c r="H29" s="38" t="s">
        <v>118</v>
      </c>
    </row>
    <row r="30" spans="3:8" x14ac:dyDescent="0.25">
      <c r="D30" t="s">
        <v>137</v>
      </c>
      <c r="E30">
        <v>240</v>
      </c>
      <c r="F30" s="41" t="s">
        <v>67</v>
      </c>
      <c r="G30" s="9">
        <v>3</v>
      </c>
      <c r="H30" s="10">
        <f t="shared" si="0"/>
        <v>720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70</v>
      </c>
      <c r="H31" s="10">
        <f t="shared" si="0"/>
        <v>6720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76080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76080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0.09</v>
      </c>
      <c r="F39" s="41"/>
      <c r="G39" s="9"/>
      <c r="H39" s="10">
        <f>ROUND(H37*E39,0)</f>
        <v>6847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3317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1078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87322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84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 codeName="Sheet85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 codeName="Sheet103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 codeName="Sheet104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 codeName="Sheet105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 codeName="Sheet106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 codeName="Sheet107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 codeName="Sheet108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 codeName="Sheet109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49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 codeName="Sheet110">
    <tabColor theme="4" tint="0.39997558519241921"/>
  </sheetPr>
  <dimension ref="A1:O44"/>
  <sheetViews>
    <sheetView showGridLines="0" workbookViewId="0">
      <selection activeCell="I19" sqref="I19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32</v>
      </c>
      <c r="O1" t="str">
        <f>A1&amp;": "&amp;A2</f>
        <v>High-Rise Multi-Family: Pre-1978</v>
      </c>
    </row>
    <row r="2" spans="1:15" x14ac:dyDescent="0.25">
      <c r="A2" t="s">
        <v>69</v>
      </c>
    </row>
    <row r="3" spans="1:15" x14ac:dyDescent="0.25">
      <c r="A3" t="s">
        <v>70</v>
      </c>
    </row>
    <row r="4" spans="1:15" ht="14.45" customHeight="1" x14ac:dyDescent="0.25">
      <c r="A4" s="52" t="s">
        <v>57</v>
      </c>
      <c r="B4" s="52"/>
      <c r="C4" s="52"/>
    </row>
    <row r="5" spans="1:15" x14ac:dyDescent="0.25">
      <c r="F5" s="41"/>
      <c r="G5" s="9"/>
      <c r="H5" s="8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55</v>
      </c>
      <c r="F7" s="41"/>
      <c r="G7" s="9"/>
      <c r="H7" s="8"/>
    </row>
    <row r="8" spans="1:15" x14ac:dyDescent="0.25">
      <c r="D8" t="s">
        <v>54</v>
      </c>
      <c r="E8">
        <v>16</v>
      </c>
      <c r="F8" s="41" t="s">
        <v>58</v>
      </c>
      <c r="G8" s="9" t="e">
        <f>VLOOKUP($A$4,zone_lu,4)</f>
        <v>#N/A</v>
      </c>
      <c r="H8" s="10" t="e">
        <f>E8*G8</f>
        <v>#N/A</v>
      </c>
    </row>
    <row r="9" spans="1:15" x14ac:dyDescent="0.25">
      <c r="D9" t="s">
        <v>59</v>
      </c>
      <c r="E9">
        <v>1</v>
      </c>
      <c r="F9" s="41" t="s">
        <v>60</v>
      </c>
      <c r="G9" s="9">
        <v>500</v>
      </c>
      <c r="H9" s="10">
        <f t="shared" ref="H9:H33" si="0">E9*G9</f>
        <v>500</v>
      </c>
    </row>
    <row r="10" spans="1:15" x14ac:dyDescent="0.25">
      <c r="E10" s="11"/>
      <c r="F10" s="42"/>
      <c r="G10" s="12"/>
      <c r="H10" s="13" t="e">
        <f>SUBTOTAL(9,H6:H9)</f>
        <v>#N/A</v>
      </c>
    </row>
    <row r="11" spans="1:15" x14ac:dyDescent="0.25">
      <c r="F11" s="41"/>
      <c r="G11" s="9"/>
      <c r="H11" s="10">
        <f t="shared" si="0"/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1</v>
      </c>
      <c r="F14" s="41" t="s">
        <v>62</v>
      </c>
      <c r="G14" s="21">
        <v>900</v>
      </c>
      <c r="H14" s="10">
        <f t="shared" si="0"/>
        <v>900</v>
      </c>
    </row>
    <row r="15" spans="1:15" x14ac:dyDescent="0.25">
      <c r="D15" s="20" t="s">
        <v>63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1</v>
      </c>
      <c r="F16" s="41" t="s">
        <v>60</v>
      </c>
      <c r="G16" s="9">
        <v>250</v>
      </c>
      <c r="H16" s="10">
        <f t="shared" si="0"/>
        <v>250</v>
      </c>
    </row>
    <row r="17" spans="2:8" x14ac:dyDescent="0.25">
      <c r="D17" t="s">
        <v>54</v>
      </c>
      <c r="E17">
        <v>16</v>
      </c>
      <c r="F17" s="41" t="s">
        <v>58</v>
      </c>
      <c r="G17" s="9" t="e">
        <f>VLOOKUP($A$4,zone_lu,4)</f>
        <v>#N/A</v>
      </c>
      <c r="H17" s="10" t="e">
        <f t="shared" si="0"/>
        <v>#N/A</v>
      </c>
    </row>
    <row r="18" spans="2:8" x14ac:dyDescent="0.25">
      <c r="C18" t="s">
        <v>52</v>
      </c>
      <c r="F18" s="41"/>
      <c r="G18" s="9"/>
      <c r="H18" s="10">
        <f t="shared" si="0"/>
        <v>0</v>
      </c>
    </row>
    <row r="19" spans="2:8" x14ac:dyDescent="0.25">
      <c r="D19" t="s">
        <v>66</v>
      </c>
      <c r="E19">
        <v>1</v>
      </c>
      <c r="F19" s="41" t="s">
        <v>62</v>
      </c>
      <c r="G19" s="21">
        <v>2800</v>
      </c>
      <c r="H19" s="10">
        <f t="shared" si="0"/>
        <v>2800</v>
      </c>
    </row>
    <row r="20" spans="2:8" x14ac:dyDescent="0.25">
      <c r="D20" s="20" t="s">
        <v>65</v>
      </c>
      <c r="F20" s="41"/>
      <c r="G20" s="9"/>
      <c r="H20" s="10">
        <f t="shared" si="0"/>
        <v>0</v>
      </c>
    </row>
    <row r="21" spans="2:8" x14ac:dyDescent="0.25">
      <c r="D21" s="15" t="s">
        <v>68</v>
      </c>
      <c r="E21">
        <v>1</v>
      </c>
      <c r="F21" s="41" t="s">
        <v>62</v>
      </c>
      <c r="G21" s="9">
        <v>100</v>
      </c>
      <c r="H21" s="10">
        <f t="shared" si="0"/>
        <v>100</v>
      </c>
    </row>
    <row r="22" spans="2:8" x14ac:dyDescent="0.25">
      <c r="D22" s="15" t="s">
        <v>120</v>
      </c>
      <c r="E22">
        <v>100</v>
      </c>
      <c r="F22" s="41" t="s">
        <v>67</v>
      </c>
      <c r="G22" s="9">
        <v>4</v>
      </c>
      <c r="H22" s="10">
        <f t="shared" si="0"/>
        <v>400</v>
      </c>
    </row>
    <row r="23" spans="2:8" x14ac:dyDescent="0.25">
      <c r="D23" t="s">
        <v>64</v>
      </c>
      <c r="E23">
        <v>1</v>
      </c>
      <c r="F23" s="41" t="s">
        <v>60</v>
      </c>
      <c r="G23" s="9">
        <v>400</v>
      </c>
      <c r="H23" s="10">
        <f t="shared" si="0"/>
        <v>400</v>
      </c>
    </row>
    <row r="24" spans="2:8" x14ac:dyDescent="0.25">
      <c r="D24" t="s">
        <v>54</v>
      </c>
      <c r="E24">
        <v>32</v>
      </c>
      <c r="F24" s="41" t="s">
        <v>58</v>
      </c>
      <c r="G24" s="9" t="e">
        <f>VLOOKUP($A$4,zone_lu,4)</f>
        <v>#N/A</v>
      </c>
      <c r="H24" s="10" t="e">
        <f t="shared" si="0"/>
        <v>#N/A</v>
      </c>
    </row>
    <row r="25" spans="2:8" x14ac:dyDescent="0.25">
      <c r="C25" t="s">
        <v>112</v>
      </c>
      <c r="F25" s="41"/>
      <c r="G25" s="9"/>
      <c r="H25" s="10"/>
    </row>
    <row r="26" spans="2:8" x14ac:dyDescent="0.25">
      <c r="D26" t="s">
        <v>117</v>
      </c>
      <c r="E26">
        <v>1</v>
      </c>
      <c r="F26" s="41" t="s">
        <v>62</v>
      </c>
      <c r="G26" s="9">
        <v>400</v>
      </c>
      <c r="H26" s="10">
        <f t="shared" si="0"/>
        <v>400</v>
      </c>
    </row>
    <row r="27" spans="2:8" x14ac:dyDescent="0.25">
      <c r="C27" t="s">
        <v>113</v>
      </c>
      <c r="F27" s="41"/>
      <c r="G27" s="9"/>
      <c r="H27" s="10">
        <f t="shared" si="0"/>
        <v>0</v>
      </c>
    </row>
    <row r="28" spans="2:8" x14ac:dyDescent="0.25">
      <c r="D28" t="s">
        <v>64</v>
      </c>
      <c r="E28">
        <v>1</v>
      </c>
      <c r="F28" s="41" t="s">
        <v>60</v>
      </c>
      <c r="G28" s="9">
        <v>250</v>
      </c>
      <c r="H28" s="10">
        <f t="shared" si="0"/>
        <v>250</v>
      </c>
    </row>
    <row r="29" spans="2:8" x14ac:dyDescent="0.25">
      <c r="D29" t="s">
        <v>54</v>
      </c>
      <c r="E29">
        <v>24</v>
      </c>
      <c r="F29" s="41" t="s">
        <v>58</v>
      </c>
      <c r="G29" s="9" t="e">
        <f>VLOOKUP($A$4,zone_lu,4)</f>
        <v>#N/A</v>
      </c>
      <c r="H29" s="10" t="e">
        <f t="shared" si="0"/>
        <v>#N/A</v>
      </c>
    </row>
    <row r="30" spans="2:8" x14ac:dyDescent="0.25">
      <c r="E30" s="11"/>
      <c r="F30" s="42"/>
      <c r="G30" s="12"/>
      <c r="H30" s="13" t="e">
        <f>SUBTOTAL(9,H12:H29)</f>
        <v>#N/A</v>
      </c>
    </row>
    <row r="31" spans="2:8" x14ac:dyDescent="0.25">
      <c r="E31" s="16"/>
      <c r="F31" s="43"/>
      <c r="G31" s="17"/>
      <c r="H31" s="18"/>
    </row>
    <row r="32" spans="2:8" x14ac:dyDescent="0.25">
      <c r="B32" s="11"/>
      <c r="C32" s="11" t="s">
        <v>71</v>
      </c>
      <c r="D32" s="11"/>
      <c r="E32" s="11"/>
      <c r="F32" s="42"/>
      <c r="G32" s="12"/>
      <c r="H32" s="13" t="e">
        <f>SUBTOTAL(9,H6:H31)</f>
        <v>#N/A</v>
      </c>
    </row>
    <row r="33" spans="2:9" x14ac:dyDescent="0.25">
      <c r="F33" s="41"/>
      <c r="G33" s="9"/>
      <c r="H33" s="10">
        <f t="shared" si="0"/>
        <v>0</v>
      </c>
    </row>
    <row r="34" spans="2:9" x14ac:dyDescent="0.25">
      <c r="B34" t="s">
        <v>110</v>
      </c>
      <c r="E34" s="19" t="e">
        <f>VLOOKUP($A$4,zone_lu,5)</f>
        <v>#N/A</v>
      </c>
      <c r="F34" s="41"/>
      <c r="G34" s="9"/>
      <c r="H34" s="10" t="e">
        <f>ROUND(H32*E34,0)</f>
        <v>#N/A</v>
      </c>
      <c r="I34" s="10">
        <f>ROUND(I32*F34,0)</f>
        <v>0</v>
      </c>
    </row>
    <row r="35" spans="2:9" x14ac:dyDescent="0.25">
      <c r="E35" s="19"/>
      <c r="F35" s="41"/>
      <c r="G35" s="9"/>
      <c r="H35" s="10"/>
      <c r="I35" s="10"/>
    </row>
    <row r="36" spans="2:9" x14ac:dyDescent="0.25">
      <c r="B36" t="s">
        <v>109</v>
      </c>
      <c r="E36" s="19" t="e">
        <f>VLOOKUP($A$4,zone_lu,6)</f>
        <v>#N/A</v>
      </c>
      <c r="F36" s="41"/>
      <c r="G36" s="9"/>
      <c r="H36" s="10" t="e">
        <f>ROUND(SUM(H32:H35)*E36,0)</f>
        <v>#N/A</v>
      </c>
      <c r="I36" s="10"/>
    </row>
    <row r="37" spans="2:9" x14ac:dyDescent="0.25">
      <c r="E37" s="19"/>
      <c r="F37" s="41"/>
      <c r="G37" s="9"/>
      <c r="H37" s="10"/>
      <c r="I37" s="10"/>
    </row>
    <row r="38" spans="2:9" x14ac:dyDescent="0.25">
      <c r="B38" t="s">
        <v>111</v>
      </c>
      <c r="E38" s="19" t="e">
        <f>VLOOKUP($A$4,zone_lu,7)</f>
        <v>#N/A</v>
      </c>
      <c r="F38" s="41"/>
      <c r="G38" s="9"/>
      <c r="H38" s="10" t="e">
        <f>ROUND(SUM(H32:H37)*E38,0)</f>
        <v>#N/A</v>
      </c>
      <c r="I38" s="10"/>
    </row>
    <row r="39" spans="2:9" x14ac:dyDescent="0.25">
      <c r="E39" s="19"/>
      <c r="F39" s="41"/>
      <c r="G39" s="9"/>
      <c r="H39" s="10"/>
    </row>
    <row r="41" spans="2:9" ht="15.75" thickBot="1" x14ac:dyDescent="0.3">
      <c r="B41" s="33" t="s">
        <v>72</v>
      </c>
      <c r="C41" s="33"/>
      <c r="D41" s="33"/>
      <c r="E41" s="33"/>
      <c r="F41" s="44"/>
      <c r="G41" s="33"/>
      <c r="H41" s="34" t="e">
        <f>SUBTOTAL(9,H6:H40)</f>
        <v>#N/A</v>
      </c>
    </row>
    <row r="42" spans="2:9" ht="15.75" thickTop="1" x14ac:dyDescent="0.25"/>
    <row r="44" spans="2:9" x14ac:dyDescent="0.25">
      <c r="H44" s="27" t="s">
        <v>108</v>
      </c>
    </row>
  </sheetData>
  <mergeCells count="1"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3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0" customWidth="1"/>
    <col min="8" max="8" width="9.140625" bestFit="1" customWidth="1"/>
  </cols>
  <sheetData>
    <row r="1" spans="1:15" x14ac:dyDescent="0.25">
      <c r="A1" t="s">
        <v>181</v>
      </c>
      <c r="O1" t="str">
        <f>A1&amp;": "&amp;A2</f>
        <v>Low Rise Multi-Family: New Construction</v>
      </c>
    </row>
    <row r="2" spans="1:15" x14ac:dyDescent="0.25">
      <c r="A2" t="s">
        <v>0</v>
      </c>
    </row>
    <row r="3" spans="1:15" x14ac:dyDescent="0.25">
      <c r="A3" t="s">
        <v>49</v>
      </c>
      <c r="F3" s="41"/>
      <c r="G3" s="9"/>
      <c r="H3" s="8"/>
    </row>
    <row r="4" spans="1:15" ht="14.45" customHeight="1" x14ac:dyDescent="0.25">
      <c r="A4" s="52">
        <v>12</v>
      </c>
      <c r="B4" s="52"/>
      <c r="C4" s="52"/>
    </row>
    <row r="6" spans="1:15" x14ac:dyDescent="0.25">
      <c r="B6" t="s">
        <v>50</v>
      </c>
      <c r="F6" s="41"/>
      <c r="G6" s="9"/>
      <c r="H6" s="8"/>
    </row>
    <row r="7" spans="1:15" x14ac:dyDescent="0.25">
      <c r="C7" t="s">
        <v>126</v>
      </c>
      <c r="F7" s="41"/>
      <c r="G7" s="9"/>
      <c r="H7" s="38" t="s">
        <v>118</v>
      </c>
    </row>
    <row r="8" spans="1:15" x14ac:dyDescent="0.25">
      <c r="D8" t="s">
        <v>54</v>
      </c>
      <c r="F8" s="41"/>
      <c r="G8" s="9"/>
      <c r="H8" s="10"/>
    </row>
    <row r="9" spans="1:15" x14ac:dyDescent="0.25">
      <c r="D9" t="s">
        <v>59</v>
      </c>
      <c r="F9" s="41"/>
      <c r="G9" s="9"/>
      <c r="H9" s="10"/>
    </row>
    <row r="10" spans="1:15" x14ac:dyDescent="0.25">
      <c r="E10" s="11"/>
      <c r="F10" s="42"/>
      <c r="G10" s="12"/>
      <c r="H10" s="13">
        <f>SUBTOTAL(9,H6:H9)</f>
        <v>0</v>
      </c>
    </row>
    <row r="11" spans="1:15" x14ac:dyDescent="0.25">
      <c r="F11" s="41"/>
      <c r="G11" s="9"/>
      <c r="H11" s="10">
        <f t="shared" ref="H11:H38" si="0">E11*G11</f>
        <v>0</v>
      </c>
    </row>
    <row r="12" spans="1:15" x14ac:dyDescent="0.25">
      <c r="B12" t="s">
        <v>51</v>
      </c>
      <c r="F12" s="41"/>
      <c r="G12" s="9"/>
      <c r="H12" s="10">
        <f t="shared" si="0"/>
        <v>0</v>
      </c>
    </row>
    <row r="13" spans="1:15" x14ac:dyDescent="0.25">
      <c r="C13" t="s">
        <v>53</v>
      </c>
      <c r="F13" s="41"/>
      <c r="G13" s="9"/>
      <c r="H13" s="10">
        <f t="shared" si="0"/>
        <v>0</v>
      </c>
    </row>
    <row r="14" spans="1:15" x14ac:dyDescent="0.25">
      <c r="D14" t="s">
        <v>61</v>
      </c>
      <c r="E14">
        <v>8</v>
      </c>
      <c r="F14" s="41" t="s">
        <v>62</v>
      </c>
      <c r="G14" s="29">
        <v>1400</v>
      </c>
      <c r="H14" s="10">
        <f t="shared" si="0"/>
        <v>11200</v>
      </c>
    </row>
    <row r="15" spans="1:15" x14ac:dyDescent="0.25">
      <c r="D15" s="22" t="s">
        <v>82</v>
      </c>
      <c r="F15" s="41"/>
      <c r="G15" s="9"/>
      <c r="H15" s="10">
        <f t="shared" si="0"/>
        <v>0</v>
      </c>
    </row>
    <row r="16" spans="1:15" x14ac:dyDescent="0.25">
      <c r="D16" t="s">
        <v>64</v>
      </c>
      <c r="E16">
        <v>8</v>
      </c>
      <c r="F16" s="41" t="s">
        <v>60</v>
      </c>
      <c r="G16" s="9">
        <v>250</v>
      </c>
      <c r="H16" s="10">
        <f t="shared" si="0"/>
        <v>2000</v>
      </c>
    </row>
    <row r="17" spans="3:8" x14ac:dyDescent="0.25">
      <c r="D17" t="s">
        <v>54</v>
      </c>
      <c r="E17">
        <v>96</v>
      </c>
      <c r="F17" s="41" t="s">
        <v>58</v>
      </c>
      <c r="G17" s="9">
        <f>VLOOKUP($A$4,zone_lu,4)</f>
        <v>65</v>
      </c>
      <c r="H17" s="10">
        <f t="shared" si="0"/>
        <v>6240</v>
      </c>
    </row>
    <row r="18" spans="3:8" x14ac:dyDescent="0.25">
      <c r="C18" t="s">
        <v>52</v>
      </c>
      <c r="F18" s="41"/>
      <c r="G18" s="9"/>
      <c r="H18" s="10">
        <f t="shared" si="0"/>
        <v>0</v>
      </c>
    </row>
    <row r="19" spans="3:8" x14ac:dyDescent="0.25">
      <c r="D19" t="s">
        <v>66</v>
      </c>
      <c r="E19">
        <v>8</v>
      </c>
      <c r="F19" s="41" t="s">
        <v>62</v>
      </c>
      <c r="G19" s="29">
        <v>3800</v>
      </c>
      <c r="H19" s="10">
        <f t="shared" si="0"/>
        <v>30400</v>
      </c>
    </row>
    <row r="20" spans="3:8" x14ac:dyDescent="0.25">
      <c r="D20" s="22" t="s">
        <v>75</v>
      </c>
      <c r="F20" s="41"/>
      <c r="G20" s="9"/>
      <c r="H20" s="10">
        <f t="shared" si="0"/>
        <v>0</v>
      </c>
    </row>
    <row r="21" spans="3:8" x14ac:dyDescent="0.25">
      <c r="D21" s="15" t="s">
        <v>68</v>
      </c>
      <c r="E21">
        <v>8</v>
      </c>
      <c r="F21" s="41" t="s">
        <v>62</v>
      </c>
      <c r="G21" s="9">
        <v>100</v>
      </c>
      <c r="H21" s="10">
        <f t="shared" si="0"/>
        <v>800</v>
      </c>
    </row>
    <row r="22" spans="3:8" x14ac:dyDescent="0.25">
      <c r="D22" s="15" t="s">
        <v>120</v>
      </c>
      <c r="E22">
        <v>800</v>
      </c>
      <c r="F22" s="41" t="s">
        <v>67</v>
      </c>
      <c r="G22" s="9">
        <v>4</v>
      </c>
      <c r="H22" s="10">
        <f t="shared" si="0"/>
        <v>3200</v>
      </c>
    </row>
    <row r="23" spans="3:8" x14ac:dyDescent="0.25">
      <c r="D23" t="s">
        <v>64</v>
      </c>
      <c r="E23">
        <v>8</v>
      </c>
      <c r="F23" s="41" t="s">
        <v>60</v>
      </c>
      <c r="G23" s="9">
        <v>400</v>
      </c>
      <c r="H23" s="10">
        <f t="shared" si="0"/>
        <v>3200</v>
      </c>
    </row>
    <row r="24" spans="3:8" x14ac:dyDescent="0.25">
      <c r="D24" t="s">
        <v>54</v>
      </c>
      <c r="E24">
        <v>96</v>
      </c>
      <c r="F24" s="41" t="s">
        <v>58</v>
      </c>
      <c r="G24" s="9">
        <f>VLOOKUP($A$4,zone_lu,4)</f>
        <v>65</v>
      </c>
      <c r="H24" s="10">
        <f t="shared" si="0"/>
        <v>6240</v>
      </c>
    </row>
    <row r="25" spans="3:8" x14ac:dyDescent="0.25">
      <c r="C25" t="s">
        <v>112</v>
      </c>
      <c r="F25" s="41"/>
      <c r="G25" s="9"/>
      <c r="H25" s="10"/>
    </row>
    <row r="26" spans="3:8" x14ac:dyDescent="0.25">
      <c r="D26" t="s">
        <v>117</v>
      </c>
      <c r="E26">
        <v>8</v>
      </c>
      <c r="F26" s="41" t="s">
        <v>62</v>
      </c>
      <c r="G26" s="9">
        <v>400</v>
      </c>
      <c r="H26" s="10">
        <f t="shared" si="0"/>
        <v>3200</v>
      </c>
    </row>
    <row r="27" spans="3:8" x14ac:dyDescent="0.25">
      <c r="C27" t="s">
        <v>134</v>
      </c>
      <c r="F27" s="41"/>
      <c r="G27" s="9"/>
      <c r="H27" s="10"/>
    </row>
    <row r="28" spans="3:8" x14ac:dyDescent="0.25">
      <c r="D28" t="s">
        <v>135</v>
      </c>
      <c r="E28">
        <v>16</v>
      </c>
      <c r="F28" s="41" t="s">
        <v>62</v>
      </c>
      <c r="G28" s="9">
        <v>75</v>
      </c>
      <c r="H28" s="10">
        <f t="shared" si="0"/>
        <v>1200</v>
      </c>
    </row>
    <row r="29" spans="3:8" x14ac:dyDescent="0.25">
      <c r="D29" t="s">
        <v>136</v>
      </c>
      <c r="F29" s="41" t="s">
        <v>62</v>
      </c>
      <c r="G29" s="9"/>
      <c r="H29" s="38" t="s">
        <v>118</v>
      </c>
    </row>
    <row r="30" spans="3:8" x14ac:dyDescent="0.25">
      <c r="D30" t="s">
        <v>137</v>
      </c>
      <c r="E30">
        <v>240</v>
      </c>
      <c r="F30" s="41" t="s">
        <v>67</v>
      </c>
      <c r="G30" s="9">
        <v>3</v>
      </c>
      <c r="H30" s="10">
        <f t="shared" si="0"/>
        <v>720</v>
      </c>
    </row>
    <row r="31" spans="3:8" x14ac:dyDescent="0.25">
      <c r="D31" t="s">
        <v>54</v>
      </c>
      <c r="E31">
        <v>96</v>
      </c>
      <c r="F31" s="41" t="s">
        <v>58</v>
      </c>
      <c r="G31" s="9">
        <f>VLOOKUP($A$4,zone_lu,4)</f>
        <v>65</v>
      </c>
      <c r="H31" s="10">
        <f t="shared" si="0"/>
        <v>6240</v>
      </c>
    </row>
    <row r="32" spans="3:8" x14ac:dyDescent="0.25">
      <c r="C32" t="s">
        <v>124</v>
      </c>
      <c r="F32" s="41"/>
      <c r="G32" s="9"/>
      <c r="H32" s="10">
        <f t="shared" si="0"/>
        <v>0</v>
      </c>
    </row>
    <row r="33" spans="2:9" x14ac:dyDescent="0.25">
      <c r="D33" t="s">
        <v>127</v>
      </c>
      <c r="F33" s="41"/>
      <c r="G33" s="9"/>
      <c r="H33" s="38" t="s">
        <v>138</v>
      </c>
    </row>
    <row r="34" spans="2:9" x14ac:dyDescent="0.25">
      <c r="D34" t="s">
        <v>54</v>
      </c>
      <c r="F34" s="41"/>
      <c r="G34" s="9"/>
      <c r="H34" s="38" t="s">
        <v>138</v>
      </c>
    </row>
    <row r="35" spans="2:9" x14ac:dyDescent="0.25">
      <c r="E35" s="11"/>
      <c r="F35" s="42"/>
      <c r="G35" s="12"/>
      <c r="H35" s="13">
        <f>SUBTOTAL(9,H12:H34)</f>
        <v>74640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74640</v>
      </c>
    </row>
    <row r="38" spans="2:9" x14ac:dyDescent="0.25">
      <c r="F38" s="41"/>
      <c r="G38" s="9"/>
      <c r="H38" s="10">
        <f t="shared" si="0"/>
        <v>0</v>
      </c>
    </row>
    <row r="39" spans="2:9" x14ac:dyDescent="0.25">
      <c r="B39" t="s">
        <v>110</v>
      </c>
      <c r="E39" s="50">
        <f>ROUND(VLOOKUP($A$4,zone_lu,5)*0.6,2)</f>
        <v>0.09</v>
      </c>
      <c r="F39" s="41"/>
      <c r="G39" s="9"/>
      <c r="H39" s="10">
        <f>ROUND(H37*E39,0)</f>
        <v>6718</v>
      </c>
      <c r="I39" s="10">
        <f>ROUND(I37*F39,0)</f>
        <v>0</v>
      </c>
    </row>
    <row r="40" spans="2:9" x14ac:dyDescent="0.25">
      <c r="E40" s="50"/>
      <c r="F40" s="41"/>
      <c r="G40" s="9"/>
      <c r="H40" s="10"/>
      <c r="I40" s="10"/>
    </row>
    <row r="41" spans="2:9" x14ac:dyDescent="0.25">
      <c r="B41" t="s">
        <v>109</v>
      </c>
      <c r="E41" s="50">
        <f>ROUND(VLOOKUP($A$4,zone_lu,6)*0.4,2)</f>
        <v>0.04</v>
      </c>
      <c r="F41" s="41"/>
      <c r="G41" s="9"/>
      <c r="H41" s="10">
        <f>ROUND(SUM(H37:H40)*E41,0)</f>
        <v>3254</v>
      </c>
      <c r="I41" s="10"/>
    </row>
    <row r="42" spans="2:9" x14ac:dyDescent="0.25">
      <c r="E42" s="50"/>
      <c r="F42" s="41"/>
      <c r="G42" s="9"/>
      <c r="H42" s="10"/>
      <c r="I42" s="10"/>
    </row>
    <row r="43" spans="2:9" x14ac:dyDescent="0.25">
      <c r="B43" t="s">
        <v>133</v>
      </c>
      <c r="E43" s="50">
        <f>VLOOKUP($A$4,zone_lu,7)</f>
        <v>1.2500000000000001E-2</v>
      </c>
      <c r="F43" s="41"/>
      <c r="G43" s="9"/>
      <c r="H43" s="10">
        <f>ROUND(SUM(H37:H42)*E43,0)</f>
        <v>1058</v>
      </c>
      <c r="I43" s="10"/>
    </row>
    <row r="44" spans="2:9" x14ac:dyDescent="0.25">
      <c r="E44" s="50"/>
      <c r="F44" s="41"/>
      <c r="G44" s="9"/>
      <c r="H44" s="10"/>
      <c r="I44" s="10"/>
    </row>
    <row r="45" spans="2:9" x14ac:dyDescent="0.25">
      <c r="B45" t="s">
        <v>111</v>
      </c>
      <c r="E45" s="50"/>
      <c r="F45" s="41"/>
      <c r="G45" s="9"/>
      <c r="H45" s="10">
        <f>ROUND(SUM(H37:H44)*E45,0)</f>
        <v>0</v>
      </c>
      <c r="I45" s="10"/>
    </row>
    <row r="46" spans="2:9" x14ac:dyDescent="0.25">
      <c r="E46" s="19"/>
      <c r="F46" s="41"/>
      <c r="G46" s="9"/>
      <c r="H46" s="10"/>
    </row>
    <row r="48" spans="2:9" ht="15.75" thickBot="1" x14ac:dyDescent="0.3">
      <c r="B48" s="33" t="s">
        <v>72</v>
      </c>
      <c r="C48" s="33"/>
      <c r="D48" s="33"/>
      <c r="E48" s="33"/>
      <c r="F48" s="44"/>
      <c r="G48" s="33"/>
      <c r="H48" s="34">
        <f>SUBTOTAL(9,H6:H47)</f>
        <v>85670</v>
      </c>
    </row>
    <row r="49" ht="15.75" thickTop="1" x14ac:dyDescent="0.25"/>
  </sheetData>
  <mergeCells count="1">
    <mergeCell ref="A4:C4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1"/>
  <dimension ref="A2:J35"/>
  <sheetViews>
    <sheetView showGridLines="0" workbookViewId="0">
      <selection activeCell="I18" sqref="I18"/>
    </sheetView>
  </sheetViews>
  <sheetFormatPr defaultRowHeight="15" x14ac:dyDescent="0.25"/>
  <cols>
    <col min="1" max="1" width="4" customWidth="1"/>
    <col min="2" max="2" width="3.140625" customWidth="1"/>
    <col min="3" max="3" width="17" bestFit="1" customWidth="1"/>
    <col min="4" max="4" width="12" bestFit="1" customWidth="1"/>
    <col min="5" max="5" width="18.7109375" customWidth="1"/>
    <col min="6" max="6" width="11.28515625" bestFit="1" customWidth="1"/>
    <col min="7" max="7" width="21" customWidth="1"/>
    <col min="8" max="8" width="11.28515625" bestFit="1" customWidth="1"/>
    <col min="9" max="9" width="22.5703125" customWidth="1"/>
  </cols>
  <sheetData>
    <row r="2" spans="1:10" x14ac:dyDescent="0.25">
      <c r="A2" t="s">
        <v>48</v>
      </c>
    </row>
    <row r="3" spans="1:10" x14ac:dyDescent="0.25">
      <c r="A3" s="2"/>
      <c r="B3" s="2"/>
      <c r="C3" s="2"/>
      <c r="D3" s="2" t="s">
        <v>4</v>
      </c>
      <c r="E3" s="2" t="s">
        <v>15</v>
      </c>
      <c r="F3" s="2"/>
      <c r="G3" s="2" t="s">
        <v>2</v>
      </c>
      <c r="H3" s="2"/>
      <c r="I3" s="2" t="s">
        <v>3</v>
      </c>
      <c r="J3" s="2"/>
    </row>
    <row r="4" spans="1:10" x14ac:dyDescent="0.25">
      <c r="A4" s="2"/>
      <c r="B4" s="2" t="s">
        <v>1</v>
      </c>
      <c r="C4" s="2"/>
      <c r="D4" s="2"/>
      <c r="E4" s="2"/>
      <c r="F4" s="2"/>
      <c r="G4" s="2"/>
      <c r="H4" s="2"/>
      <c r="I4" s="2"/>
      <c r="J4" s="2"/>
    </row>
    <row r="5" spans="1:10" x14ac:dyDescent="0.25">
      <c r="A5" s="2"/>
      <c r="B5" s="2"/>
      <c r="C5" s="2" t="s">
        <v>0</v>
      </c>
      <c r="D5" s="4">
        <v>3</v>
      </c>
      <c r="E5" s="4" t="s">
        <v>16</v>
      </c>
      <c r="F5" s="4" t="s">
        <v>16</v>
      </c>
      <c r="G5" s="2" t="s">
        <v>6</v>
      </c>
      <c r="H5" s="2" t="s">
        <v>7</v>
      </c>
      <c r="I5" s="3" t="s">
        <v>8</v>
      </c>
      <c r="J5" s="2"/>
    </row>
    <row r="6" spans="1:10" x14ac:dyDescent="0.25">
      <c r="A6" s="2"/>
      <c r="B6" s="2"/>
      <c r="C6" s="2"/>
      <c r="D6" s="2" t="s">
        <v>5</v>
      </c>
      <c r="E6" s="2" t="s">
        <v>16</v>
      </c>
      <c r="F6" s="2" t="s">
        <v>16</v>
      </c>
      <c r="G6" s="2" t="s">
        <v>6</v>
      </c>
      <c r="H6" s="2" t="s">
        <v>9</v>
      </c>
      <c r="I6" s="3" t="s">
        <v>8</v>
      </c>
      <c r="J6" s="2"/>
    </row>
    <row r="7" spans="1:10" x14ac:dyDescent="0.25">
      <c r="A7" s="2"/>
      <c r="B7" s="2"/>
      <c r="C7" s="2" t="s">
        <v>10</v>
      </c>
      <c r="D7" s="2" t="s">
        <v>11</v>
      </c>
      <c r="E7" s="2" t="s">
        <v>17</v>
      </c>
      <c r="F7" s="2" t="s">
        <v>18</v>
      </c>
      <c r="G7" s="2" t="s">
        <v>19</v>
      </c>
      <c r="H7" s="2" t="s">
        <v>20</v>
      </c>
      <c r="I7" s="3" t="s">
        <v>8</v>
      </c>
      <c r="J7" s="2"/>
    </row>
    <row r="8" spans="1:10" x14ac:dyDescent="0.25">
      <c r="A8" s="2"/>
      <c r="B8" s="2"/>
      <c r="C8" s="2"/>
      <c r="D8" s="2" t="s">
        <v>12</v>
      </c>
      <c r="E8" s="2" t="s">
        <v>17</v>
      </c>
      <c r="F8" s="2" t="s">
        <v>9</v>
      </c>
      <c r="G8" s="2" t="s">
        <v>19</v>
      </c>
      <c r="H8" s="2" t="s">
        <v>20</v>
      </c>
      <c r="I8" s="3" t="s">
        <v>8</v>
      </c>
      <c r="J8" s="2"/>
    </row>
    <row r="9" spans="1:10" ht="30" x14ac:dyDescent="0.25">
      <c r="A9" s="2"/>
      <c r="B9" s="2"/>
      <c r="C9" s="2" t="s">
        <v>33</v>
      </c>
      <c r="D9" s="2" t="s">
        <v>11</v>
      </c>
      <c r="E9" s="2" t="s">
        <v>21</v>
      </c>
      <c r="F9" s="2" t="s">
        <v>18</v>
      </c>
      <c r="G9" s="3" t="s">
        <v>23</v>
      </c>
      <c r="H9" s="2" t="s">
        <v>20</v>
      </c>
      <c r="I9" s="3" t="s">
        <v>25</v>
      </c>
      <c r="J9" s="2"/>
    </row>
    <row r="10" spans="1:10" ht="30" x14ac:dyDescent="0.25">
      <c r="A10" s="2"/>
      <c r="B10" s="2"/>
      <c r="C10" s="2"/>
      <c r="D10" s="2" t="s">
        <v>13</v>
      </c>
      <c r="E10" s="2" t="s">
        <v>21</v>
      </c>
      <c r="F10" s="2" t="s">
        <v>22</v>
      </c>
      <c r="G10" s="3" t="s">
        <v>24</v>
      </c>
      <c r="H10" s="2"/>
      <c r="I10" s="3" t="s">
        <v>25</v>
      </c>
      <c r="J10" s="2"/>
    </row>
    <row r="11" spans="1:10" x14ac:dyDescent="0.25">
      <c r="A11" s="2"/>
      <c r="B11" s="2"/>
      <c r="C11" s="2"/>
      <c r="D11" s="2" t="s">
        <v>14</v>
      </c>
      <c r="E11" s="2" t="s">
        <v>17</v>
      </c>
      <c r="F11" s="2" t="s">
        <v>9</v>
      </c>
      <c r="G11" s="2" t="s">
        <v>19</v>
      </c>
      <c r="H11" s="2" t="s">
        <v>20</v>
      </c>
      <c r="I11" s="3" t="s">
        <v>8</v>
      </c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3"/>
      <c r="J12" s="2"/>
    </row>
    <row r="13" spans="1:10" x14ac:dyDescent="0.25">
      <c r="A13" s="2"/>
      <c r="B13" s="2" t="s">
        <v>26</v>
      </c>
      <c r="C13" s="2"/>
      <c r="D13" s="2"/>
      <c r="E13" s="2"/>
      <c r="F13" s="2"/>
      <c r="G13" s="2"/>
      <c r="H13" s="2"/>
      <c r="I13" s="3"/>
      <c r="J13" s="2"/>
    </row>
    <row r="14" spans="1:10" ht="30" x14ac:dyDescent="0.25">
      <c r="A14" s="2"/>
      <c r="B14" s="2"/>
      <c r="C14" s="2" t="s">
        <v>0</v>
      </c>
      <c r="D14" s="4">
        <v>3</v>
      </c>
      <c r="E14" s="4" t="s">
        <v>16</v>
      </c>
      <c r="F14" s="4" t="s">
        <v>16</v>
      </c>
      <c r="G14" s="2" t="s">
        <v>6</v>
      </c>
      <c r="H14" s="2" t="s">
        <v>7</v>
      </c>
      <c r="I14" s="5" t="s">
        <v>27</v>
      </c>
      <c r="J14" s="2"/>
    </row>
    <row r="15" spans="1:10" ht="30" x14ac:dyDescent="0.25">
      <c r="A15" s="2"/>
      <c r="B15" s="2"/>
      <c r="C15" s="2"/>
      <c r="D15" s="2" t="s">
        <v>5</v>
      </c>
      <c r="E15" s="2" t="s">
        <v>16</v>
      </c>
      <c r="F15" s="2" t="s">
        <v>16</v>
      </c>
      <c r="G15" s="2" t="s">
        <v>6</v>
      </c>
      <c r="H15" s="2" t="s">
        <v>9</v>
      </c>
      <c r="I15" s="5" t="s">
        <v>27</v>
      </c>
      <c r="J15" s="2"/>
    </row>
    <row r="16" spans="1:10" x14ac:dyDescent="0.25">
      <c r="A16" s="2"/>
      <c r="B16" s="2"/>
      <c r="C16" s="2" t="s">
        <v>10</v>
      </c>
      <c r="D16" s="2" t="s">
        <v>11</v>
      </c>
      <c r="E16" s="2" t="s">
        <v>29</v>
      </c>
      <c r="F16" s="2" t="s">
        <v>18</v>
      </c>
      <c r="G16" s="2" t="s">
        <v>31</v>
      </c>
      <c r="H16" s="2" t="s">
        <v>9</v>
      </c>
      <c r="I16" s="3" t="s">
        <v>8</v>
      </c>
      <c r="J16" s="2"/>
    </row>
    <row r="17" spans="1:10" x14ac:dyDescent="0.25">
      <c r="A17" s="2"/>
      <c r="B17" s="2"/>
      <c r="C17" s="2"/>
      <c r="D17" s="2" t="s">
        <v>12</v>
      </c>
      <c r="E17" s="2" t="s">
        <v>29</v>
      </c>
      <c r="F17" s="2" t="s">
        <v>9</v>
      </c>
      <c r="G17" s="2" t="s">
        <v>31</v>
      </c>
      <c r="H17" s="2" t="s">
        <v>9</v>
      </c>
      <c r="I17" s="3" t="s">
        <v>8</v>
      </c>
      <c r="J17" s="2"/>
    </row>
    <row r="18" spans="1:10" ht="30" x14ac:dyDescent="0.25">
      <c r="A18" s="2"/>
      <c r="B18" s="2"/>
      <c r="C18" s="2" t="s">
        <v>33</v>
      </c>
      <c r="D18" s="2" t="s">
        <v>11</v>
      </c>
      <c r="E18" s="2" t="s">
        <v>21</v>
      </c>
      <c r="F18" s="2" t="s">
        <v>18</v>
      </c>
      <c r="G18" s="2" t="s">
        <v>30</v>
      </c>
      <c r="H18" s="2" t="s">
        <v>22</v>
      </c>
      <c r="I18" s="3" t="s">
        <v>28</v>
      </c>
      <c r="J18" s="2"/>
    </row>
    <row r="19" spans="1:10" ht="30" x14ac:dyDescent="0.25">
      <c r="A19" s="2"/>
      <c r="B19" s="2"/>
      <c r="C19" s="2"/>
      <c r="D19" s="2" t="s">
        <v>13</v>
      </c>
      <c r="E19" s="2" t="s">
        <v>21</v>
      </c>
      <c r="F19" s="2" t="s">
        <v>22</v>
      </c>
      <c r="G19" s="2" t="s">
        <v>30</v>
      </c>
      <c r="H19" s="2" t="s">
        <v>22</v>
      </c>
      <c r="I19" s="3" t="s">
        <v>28</v>
      </c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3"/>
      <c r="J20" s="2"/>
    </row>
    <row r="21" spans="1:10" x14ac:dyDescent="0.25">
      <c r="A21" s="2"/>
      <c r="B21" s="2" t="s">
        <v>32</v>
      </c>
      <c r="C21" s="2"/>
      <c r="D21" s="2"/>
      <c r="E21" s="2"/>
      <c r="F21" s="2"/>
      <c r="G21" s="2"/>
      <c r="H21" s="2"/>
      <c r="I21" s="3"/>
      <c r="J21" s="2"/>
    </row>
    <row r="22" spans="1:10" ht="45" x14ac:dyDescent="0.25">
      <c r="A22" s="2"/>
      <c r="B22" s="2"/>
      <c r="C22" s="2" t="s">
        <v>0</v>
      </c>
      <c r="D22" s="4">
        <v>3</v>
      </c>
      <c r="E22" s="4" t="s">
        <v>16</v>
      </c>
      <c r="F22" s="4" t="s">
        <v>16</v>
      </c>
      <c r="G22" s="3" t="s">
        <v>37</v>
      </c>
      <c r="H22" s="4" t="s">
        <v>18</v>
      </c>
      <c r="I22" s="5" t="s">
        <v>38</v>
      </c>
      <c r="J22" s="4" t="s">
        <v>18</v>
      </c>
    </row>
    <row r="23" spans="1:10" ht="47.25" customHeight="1" x14ac:dyDescent="0.25">
      <c r="A23" s="2"/>
      <c r="B23" s="2"/>
      <c r="C23" s="2"/>
      <c r="D23" s="2" t="s">
        <v>5</v>
      </c>
      <c r="E23" s="2" t="s">
        <v>16</v>
      </c>
      <c r="F23" s="2" t="s">
        <v>16</v>
      </c>
      <c r="G23" s="53" t="s">
        <v>39</v>
      </c>
      <c r="H23" s="53"/>
      <c r="I23" s="3" t="s">
        <v>40</v>
      </c>
      <c r="J23" s="2"/>
    </row>
    <row r="24" spans="1:10" ht="45" x14ac:dyDescent="0.25">
      <c r="A24" s="2"/>
      <c r="B24" s="2"/>
      <c r="C24" s="2" t="s">
        <v>10</v>
      </c>
      <c r="D24" s="4">
        <v>3</v>
      </c>
      <c r="E24" s="3" t="s">
        <v>34</v>
      </c>
      <c r="F24" s="2" t="s">
        <v>18</v>
      </c>
      <c r="G24" s="3" t="s">
        <v>41</v>
      </c>
      <c r="H24" s="2" t="s">
        <v>18</v>
      </c>
      <c r="I24" s="2"/>
      <c r="J24" s="2"/>
    </row>
    <row r="25" spans="1:10" ht="45" customHeight="1" x14ac:dyDescent="0.25">
      <c r="A25" s="2"/>
      <c r="B25" s="2"/>
      <c r="C25" s="2"/>
      <c r="D25" s="2" t="s">
        <v>5</v>
      </c>
      <c r="E25" s="53" t="s">
        <v>35</v>
      </c>
      <c r="F25" s="53"/>
      <c r="G25" s="53" t="s">
        <v>42</v>
      </c>
      <c r="H25" s="53"/>
      <c r="I25" s="53" t="s">
        <v>43</v>
      </c>
      <c r="J25" s="53"/>
    </row>
    <row r="26" spans="1:10" ht="46.5" customHeight="1" x14ac:dyDescent="0.25">
      <c r="A26" s="2"/>
      <c r="B26" s="2"/>
      <c r="C26" s="2" t="s">
        <v>33</v>
      </c>
      <c r="D26" s="4">
        <v>3</v>
      </c>
      <c r="E26" s="3" t="s">
        <v>36</v>
      </c>
      <c r="F26" s="6" t="s">
        <v>18</v>
      </c>
      <c r="G26" s="7" t="s">
        <v>44</v>
      </c>
      <c r="H26" s="6" t="s">
        <v>18</v>
      </c>
      <c r="I26" s="3" t="s">
        <v>46</v>
      </c>
      <c r="J26" s="3" t="s">
        <v>18</v>
      </c>
    </row>
    <row r="27" spans="1:10" ht="60" x14ac:dyDescent="0.25">
      <c r="A27" s="2"/>
      <c r="B27" s="2"/>
      <c r="C27" s="2"/>
      <c r="D27" s="2" t="s">
        <v>5</v>
      </c>
      <c r="E27" s="3" t="s">
        <v>36</v>
      </c>
      <c r="F27" s="6" t="s">
        <v>22</v>
      </c>
      <c r="G27" s="7" t="s">
        <v>45</v>
      </c>
      <c r="H27" s="6" t="s">
        <v>22</v>
      </c>
      <c r="I27" s="53" t="s">
        <v>47</v>
      </c>
      <c r="J27" s="53"/>
    </row>
    <row r="35" spans="3:3" x14ac:dyDescent="0.25">
      <c r="C35" s="2"/>
    </row>
  </sheetData>
  <mergeCells count="5">
    <mergeCell ref="E25:F25"/>
    <mergeCell ref="G23:H23"/>
    <mergeCell ref="G25:H25"/>
    <mergeCell ref="I25:J25"/>
    <mergeCell ref="I27:J27"/>
  </mergeCells>
  <pageMargins left="0.7" right="0.7" top="0.75" bottom="0.75" header="0.3" footer="0.3"/>
  <pageSetup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5"/>
  <dimension ref="A1:O49"/>
  <sheetViews>
    <sheetView showGridLines="0" workbookViewId="0">
      <selection activeCell="A2" sqref="A2"/>
    </sheetView>
  </sheetViews>
  <sheetFormatPr defaultRowHeight="15" x14ac:dyDescent="0.25"/>
  <cols>
    <col min="1" max="3" width="3.7109375" customWidth="1"/>
    <col min="4" max="4" width="34.28515625" bestFit="1" customWidth="1"/>
    <col min="5" max="5" width="9" customWidth="1"/>
    <col min="6" max="6" width="6.7109375" style="41" customWidth="1"/>
    <col min="7" max="7" width="8.85546875" style="9"/>
    <col min="8" max="8" width="9.140625" style="8" bestFit="1" customWidth="1"/>
  </cols>
  <sheetData>
    <row r="1" spans="1:15" x14ac:dyDescent="0.25">
      <c r="A1" t="s">
        <v>181</v>
      </c>
      <c r="O1" t="str">
        <f>A1&amp;": "&amp;A2</f>
        <v>Low Rise Multi-Family: 1990's</v>
      </c>
    </row>
    <row r="2" spans="1:15" x14ac:dyDescent="0.25">
      <c r="A2" t="s">
        <v>10</v>
      </c>
    </row>
    <row r="3" spans="1:15" x14ac:dyDescent="0.25">
      <c r="A3" t="s">
        <v>49</v>
      </c>
    </row>
    <row r="4" spans="1:15" ht="14.45" customHeight="1" x14ac:dyDescent="0.25">
      <c r="A4" s="52">
        <v>3</v>
      </c>
      <c r="B4" s="52"/>
      <c r="C4" s="52"/>
    </row>
    <row r="6" spans="1:15" x14ac:dyDescent="0.25">
      <c r="B6" t="s">
        <v>50</v>
      </c>
    </row>
    <row r="7" spans="1:15" x14ac:dyDescent="0.25">
      <c r="C7" t="s">
        <v>55</v>
      </c>
    </row>
    <row r="8" spans="1:15" x14ac:dyDescent="0.25">
      <c r="D8" t="s">
        <v>54</v>
      </c>
      <c r="E8">
        <v>24</v>
      </c>
      <c r="F8" s="41" t="s">
        <v>58</v>
      </c>
      <c r="G8" s="9">
        <f>VLOOKUP($A$4,zone_lu,4)</f>
        <v>95</v>
      </c>
      <c r="H8" s="10">
        <f>E8*G8</f>
        <v>2280</v>
      </c>
    </row>
    <row r="9" spans="1:15" x14ac:dyDescent="0.25">
      <c r="D9" t="s">
        <v>59</v>
      </c>
      <c r="E9">
        <v>6</v>
      </c>
      <c r="F9" s="41" t="s">
        <v>60</v>
      </c>
      <c r="G9" s="9">
        <v>500</v>
      </c>
      <c r="H9" s="10">
        <f t="shared" ref="H9:H49" si="0">E9*G9</f>
        <v>3000</v>
      </c>
    </row>
    <row r="10" spans="1:15" x14ac:dyDescent="0.25">
      <c r="E10" s="11"/>
      <c r="F10" s="42"/>
      <c r="G10" s="12"/>
      <c r="H10" s="13">
        <f>SUBTOTAL(9,H6:H9)</f>
        <v>5280</v>
      </c>
    </row>
    <row r="11" spans="1:15" x14ac:dyDescent="0.25">
      <c r="H11" s="10">
        <f t="shared" si="0"/>
        <v>0</v>
      </c>
    </row>
    <row r="12" spans="1:15" x14ac:dyDescent="0.25">
      <c r="B12" t="s">
        <v>51</v>
      </c>
      <c r="H12" s="10">
        <f t="shared" si="0"/>
        <v>0</v>
      </c>
    </row>
    <row r="13" spans="1:15" x14ac:dyDescent="0.25">
      <c r="C13" t="s">
        <v>53</v>
      </c>
      <c r="G13" s="29"/>
      <c r="H13" s="10">
        <f t="shared" si="0"/>
        <v>0</v>
      </c>
    </row>
    <row r="14" spans="1:15" x14ac:dyDescent="0.25">
      <c r="D14" t="s">
        <v>61</v>
      </c>
      <c r="E14">
        <v>6</v>
      </c>
      <c r="F14" s="41" t="s">
        <v>62</v>
      </c>
      <c r="G14" s="29">
        <v>1200</v>
      </c>
      <c r="H14" s="10">
        <f t="shared" si="0"/>
        <v>7200</v>
      </c>
    </row>
    <row r="15" spans="1:15" x14ac:dyDescent="0.25">
      <c r="D15" s="24" t="s">
        <v>183</v>
      </c>
      <c r="G15" s="29"/>
      <c r="H15" s="10">
        <f t="shared" si="0"/>
        <v>0</v>
      </c>
    </row>
    <row r="16" spans="1:15" x14ac:dyDescent="0.25">
      <c r="D16" s="23" t="s">
        <v>64</v>
      </c>
      <c r="E16">
        <v>6</v>
      </c>
      <c r="F16" s="41" t="s">
        <v>60</v>
      </c>
      <c r="G16" s="29">
        <v>250</v>
      </c>
      <c r="H16" s="10">
        <f t="shared" si="0"/>
        <v>1500</v>
      </c>
    </row>
    <row r="17" spans="3:8" x14ac:dyDescent="0.25">
      <c r="D17" s="23" t="s">
        <v>54</v>
      </c>
      <c r="E17">
        <v>96</v>
      </c>
      <c r="F17" s="41" t="s">
        <v>58</v>
      </c>
      <c r="G17" s="29">
        <f>VLOOKUP($A$4,zone_lu,4)</f>
        <v>95</v>
      </c>
      <c r="H17" s="10">
        <f t="shared" si="0"/>
        <v>9120</v>
      </c>
    </row>
    <row r="18" spans="3:8" x14ac:dyDescent="0.25">
      <c r="C18" t="s">
        <v>52</v>
      </c>
      <c r="D18" s="23"/>
      <c r="G18" s="29"/>
      <c r="H18" s="10">
        <f t="shared" si="0"/>
        <v>0</v>
      </c>
    </row>
    <row r="19" spans="3:8" x14ac:dyDescent="0.25">
      <c r="D19" s="23" t="s">
        <v>66</v>
      </c>
      <c r="E19">
        <v>6</v>
      </c>
      <c r="F19" s="41" t="s">
        <v>62</v>
      </c>
      <c r="G19" s="29">
        <v>3200</v>
      </c>
      <c r="H19" s="10">
        <f t="shared" si="0"/>
        <v>19200</v>
      </c>
    </row>
    <row r="20" spans="3:8" x14ac:dyDescent="0.25">
      <c r="D20" s="22" t="s">
        <v>80</v>
      </c>
      <c r="G20" s="29"/>
      <c r="H20" s="10">
        <f t="shared" si="0"/>
        <v>0</v>
      </c>
    </row>
    <row r="21" spans="3:8" x14ac:dyDescent="0.25">
      <c r="D21" s="15" t="s">
        <v>68</v>
      </c>
      <c r="E21">
        <v>6</v>
      </c>
      <c r="F21" s="41" t="s">
        <v>62</v>
      </c>
      <c r="G21" s="9">
        <v>100</v>
      </c>
      <c r="H21" s="10">
        <f t="shared" si="0"/>
        <v>600</v>
      </c>
    </row>
    <row r="22" spans="3:8" x14ac:dyDescent="0.25">
      <c r="D22" s="15" t="s">
        <v>120</v>
      </c>
      <c r="E22">
        <v>600</v>
      </c>
      <c r="F22" s="41" t="s">
        <v>67</v>
      </c>
      <c r="G22" s="9">
        <v>4</v>
      </c>
      <c r="H22" s="10">
        <f t="shared" si="0"/>
        <v>2400</v>
      </c>
    </row>
    <row r="23" spans="3:8" x14ac:dyDescent="0.25">
      <c r="D23" t="s">
        <v>64</v>
      </c>
      <c r="E23">
        <v>6</v>
      </c>
      <c r="F23" s="41" t="s">
        <v>60</v>
      </c>
      <c r="G23" s="9">
        <v>400</v>
      </c>
      <c r="H23" s="10">
        <f t="shared" si="0"/>
        <v>2400</v>
      </c>
    </row>
    <row r="24" spans="3:8" x14ac:dyDescent="0.25">
      <c r="D24" t="s">
        <v>54</v>
      </c>
      <c r="E24">
        <f>4*16</f>
        <v>64</v>
      </c>
      <c r="F24" s="41" t="s">
        <v>58</v>
      </c>
      <c r="G24" s="9">
        <f>VLOOKUP($A$4,zone_lu,4)</f>
        <v>95</v>
      </c>
      <c r="H24" s="10">
        <f t="shared" si="0"/>
        <v>6080</v>
      </c>
    </row>
    <row r="25" spans="3:8" x14ac:dyDescent="0.25">
      <c r="C25" t="s">
        <v>112</v>
      </c>
      <c r="H25" s="10"/>
    </row>
    <row r="26" spans="3:8" x14ac:dyDescent="0.25">
      <c r="D26" t="s">
        <v>117</v>
      </c>
      <c r="E26">
        <v>6</v>
      </c>
      <c r="F26" s="41" t="s">
        <v>62</v>
      </c>
      <c r="G26" s="9">
        <v>400</v>
      </c>
      <c r="H26" s="10">
        <f t="shared" si="0"/>
        <v>2400</v>
      </c>
    </row>
    <row r="27" spans="3:8" x14ac:dyDescent="0.25">
      <c r="C27" t="s">
        <v>134</v>
      </c>
      <c r="H27" s="10"/>
    </row>
    <row r="28" spans="3:8" x14ac:dyDescent="0.25">
      <c r="D28" t="s">
        <v>135</v>
      </c>
      <c r="E28">
        <v>6</v>
      </c>
      <c r="F28" s="41" t="s">
        <v>62</v>
      </c>
      <c r="G28" s="9">
        <v>95</v>
      </c>
      <c r="H28" s="10">
        <f t="shared" si="0"/>
        <v>570</v>
      </c>
    </row>
    <row r="29" spans="3:8" x14ac:dyDescent="0.25">
      <c r="D29" t="s">
        <v>136</v>
      </c>
      <c r="H29" s="39" t="s">
        <v>118</v>
      </c>
    </row>
    <row r="30" spans="3:8" x14ac:dyDescent="0.25">
      <c r="D30" t="s">
        <v>137</v>
      </c>
      <c r="H30" s="39" t="s">
        <v>15</v>
      </c>
    </row>
    <row r="31" spans="3:8" x14ac:dyDescent="0.25">
      <c r="D31" t="s">
        <v>54</v>
      </c>
      <c r="E31">
        <v>32</v>
      </c>
      <c r="F31" s="41" t="s">
        <v>58</v>
      </c>
      <c r="G31" s="9">
        <f>VLOOKUP($A$4,zone_lu,4)</f>
        <v>95</v>
      </c>
      <c r="H31" s="10">
        <f t="shared" si="0"/>
        <v>3040</v>
      </c>
    </row>
    <row r="32" spans="3:8" x14ac:dyDescent="0.25">
      <c r="C32" t="s">
        <v>113</v>
      </c>
      <c r="H32" s="10">
        <f t="shared" si="0"/>
        <v>0</v>
      </c>
    </row>
    <row r="33" spans="2:9" x14ac:dyDescent="0.25">
      <c r="D33" t="s">
        <v>64</v>
      </c>
      <c r="E33">
        <v>6</v>
      </c>
      <c r="F33" s="41" t="s">
        <v>60</v>
      </c>
      <c r="G33" s="9">
        <v>250</v>
      </c>
      <c r="H33" s="10">
        <f t="shared" si="0"/>
        <v>1500</v>
      </c>
    </row>
    <row r="34" spans="2:9" x14ac:dyDescent="0.25">
      <c r="D34" t="s">
        <v>54</v>
      </c>
      <c r="E34">
        <v>24</v>
      </c>
      <c r="F34" s="41" t="s">
        <v>58</v>
      </c>
      <c r="G34" s="9">
        <f>VLOOKUP($A$4,zone_lu,4)</f>
        <v>95</v>
      </c>
      <c r="H34" s="10">
        <f t="shared" si="0"/>
        <v>2280</v>
      </c>
    </row>
    <row r="35" spans="2:9" x14ac:dyDescent="0.25">
      <c r="E35" s="11"/>
      <c r="F35" s="42"/>
      <c r="G35" s="12"/>
      <c r="H35" s="13">
        <f>SUBTOTAL(9,H12:H34)</f>
        <v>58290</v>
      </c>
    </row>
    <row r="36" spans="2:9" x14ac:dyDescent="0.25">
      <c r="E36" s="16"/>
      <c r="F36" s="43"/>
      <c r="G36" s="17"/>
      <c r="H36" s="18"/>
    </row>
    <row r="37" spans="2:9" x14ac:dyDescent="0.25">
      <c r="B37" s="11"/>
      <c r="C37" s="11" t="s">
        <v>71</v>
      </c>
      <c r="D37" s="11"/>
      <c r="E37" s="11"/>
      <c r="F37" s="42"/>
      <c r="G37" s="12"/>
      <c r="H37" s="13">
        <f>SUBTOTAL(9,H6:H36)</f>
        <v>63570</v>
      </c>
    </row>
    <row r="38" spans="2:9" x14ac:dyDescent="0.25">
      <c r="H38" s="10">
        <f t="shared" si="0"/>
        <v>0</v>
      </c>
    </row>
    <row r="39" spans="2:9" x14ac:dyDescent="0.25">
      <c r="B39" t="s">
        <v>110</v>
      </c>
      <c r="E39" s="47">
        <f>VLOOKUP($A$4,zone_lu,5)</f>
        <v>0.2</v>
      </c>
      <c r="H39" s="10">
        <f>ROUND(H37*E39,0)</f>
        <v>12714</v>
      </c>
      <c r="I39" s="10">
        <f>ROUND(I37*F39,0)</f>
        <v>0</v>
      </c>
    </row>
    <row r="40" spans="2:9" x14ac:dyDescent="0.25">
      <c r="E40" s="47"/>
      <c r="H40" s="10"/>
      <c r="I40" s="10"/>
    </row>
    <row r="41" spans="2:9" x14ac:dyDescent="0.25">
      <c r="B41" t="s">
        <v>109</v>
      </c>
      <c r="E41" s="47">
        <f>VLOOKUP($A$4,zone_lu,6)</f>
        <v>0.1</v>
      </c>
      <c r="H41" s="10">
        <f>ROUND(SUM(H37:H40)*E41,0)</f>
        <v>7628</v>
      </c>
      <c r="I41" s="10"/>
    </row>
    <row r="42" spans="2:9" x14ac:dyDescent="0.25">
      <c r="E42" s="47"/>
      <c r="H42" s="10"/>
      <c r="I42" s="10"/>
    </row>
    <row r="43" spans="2:9" x14ac:dyDescent="0.25">
      <c r="B43" t="s">
        <v>133</v>
      </c>
      <c r="E43" s="47">
        <f>VLOOKUP($A$4,zone_lu,7)</f>
        <v>1.2500000000000001E-2</v>
      </c>
      <c r="H43" s="10">
        <f>ROUND(SUM(H37:H42)*E43,0)</f>
        <v>1049</v>
      </c>
      <c r="I43" s="10"/>
    </row>
    <row r="44" spans="2:9" x14ac:dyDescent="0.25">
      <c r="E44" s="47"/>
      <c r="H44" s="10"/>
      <c r="I44" s="10"/>
    </row>
    <row r="45" spans="2:9" x14ac:dyDescent="0.25">
      <c r="B45" t="s">
        <v>111</v>
      </c>
      <c r="E45" s="47">
        <f>VLOOKUP($A$4,zone_lu,8)</f>
        <v>0.08</v>
      </c>
      <c r="H45" s="10">
        <f>ROUND(SUM(H37:H44)*E45,0)</f>
        <v>6797</v>
      </c>
      <c r="I45" s="10"/>
    </row>
    <row r="46" spans="2:9" x14ac:dyDescent="0.25">
      <c r="E46" s="19"/>
      <c r="H46" s="10"/>
    </row>
    <row r="47" spans="2:9" x14ac:dyDescent="0.25">
      <c r="H47" s="10">
        <f t="shared" si="0"/>
        <v>0</v>
      </c>
    </row>
    <row r="48" spans="2:9" ht="15.75" thickBot="1" x14ac:dyDescent="0.3">
      <c r="B48" s="33" t="s">
        <v>72</v>
      </c>
      <c r="C48" s="33"/>
      <c r="D48" s="33"/>
      <c r="E48" s="33"/>
      <c r="F48" s="45"/>
      <c r="G48" s="35"/>
      <c r="H48" s="34">
        <f>SUBTOTAL(9,H6:H47)</f>
        <v>91758</v>
      </c>
    </row>
    <row r="49" spans="8:8" ht="15.75" thickTop="1" x14ac:dyDescent="0.25">
      <c r="H49" s="10">
        <f t="shared" si="0"/>
        <v>0</v>
      </c>
    </row>
  </sheetData>
  <mergeCells count="1">
    <mergeCell ref="A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80</vt:i4>
      </vt:variant>
      <vt:variant>
        <vt:lpstr>Named Ranges</vt:lpstr>
      </vt:variant>
      <vt:variant>
        <vt:i4>1</vt:i4>
      </vt:variant>
    </vt:vector>
  </HeadingPairs>
  <TitlesOfParts>
    <vt:vector size="81" baseType="lpstr">
      <vt:lpstr>Summary</vt:lpstr>
      <vt:lpstr>Sheet1</vt:lpstr>
      <vt:lpstr>LRMF NC Gas Z3</vt:lpstr>
      <vt:lpstr>LRMF NC Gas Z4</vt:lpstr>
      <vt:lpstr>LRMF NC Gas Z6</vt:lpstr>
      <vt:lpstr>LRMF NC Gas Z9</vt:lpstr>
      <vt:lpstr>LRMF NC Gas Z10</vt:lpstr>
      <vt:lpstr>LRMF NC Gas Z12</vt:lpstr>
      <vt:lpstr>LRMF 90 Gas Z3</vt:lpstr>
      <vt:lpstr>LRMF 90 Gas Z4</vt:lpstr>
      <vt:lpstr>LRMF 90 Gas Z6</vt:lpstr>
      <vt:lpstr>LRMF 90 Gas Z9</vt:lpstr>
      <vt:lpstr>LRMF 90 Gas Z10</vt:lpstr>
      <vt:lpstr>LRMF 90 Gas Z12</vt:lpstr>
      <vt:lpstr>LRMF 78 Gas Z3</vt:lpstr>
      <vt:lpstr>LRMF 78 Gas Z4</vt:lpstr>
      <vt:lpstr>LRMF 78 Gas Z6</vt:lpstr>
      <vt:lpstr>LRMF 78 Gas Z9</vt:lpstr>
      <vt:lpstr>LRMF 78 Gas Z10</vt:lpstr>
      <vt:lpstr>LRMF 78 Gas Z12</vt:lpstr>
      <vt:lpstr>LRMF NC Electric Z3 S</vt:lpstr>
      <vt:lpstr>LRMF NC Electric Z3 O1</vt:lpstr>
      <vt:lpstr>LRMF NC Electric Z3 O2</vt:lpstr>
      <vt:lpstr>LRMF NC Electric Z4</vt:lpstr>
      <vt:lpstr>LRMF NC Electric Z6</vt:lpstr>
      <vt:lpstr>LRMF NC Electric Z9</vt:lpstr>
      <vt:lpstr>LRMF NC Electric Z10</vt:lpstr>
      <vt:lpstr>LRMF NC Electric Z12</vt:lpstr>
      <vt:lpstr>LRMF 90 Electric Z3 S</vt:lpstr>
      <vt:lpstr>LRMF 90 Electric Z3 O1</vt:lpstr>
      <vt:lpstr>LRMF 90 Electric Z3 O2</vt:lpstr>
      <vt:lpstr>LRMF 90 Electric Z4</vt:lpstr>
      <vt:lpstr>LRMF 90 Electric Z6</vt:lpstr>
      <vt:lpstr>LRMF 90 Electric Z9</vt:lpstr>
      <vt:lpstr>LRMF 90 Electric Z10</vt:lpstr>
      <vt:lpstr>LRMF 90 Electric Z12</vt:lpstr>
      <vt:lpstr>LRMF 78 Electric Z3 S</vt:lpstr>
      <vt:lpstr>LRMF 78 Electric Z3 O1</vt:lpstr>
      <vt:lpstr>LRMF 78 Electric Z4</vt:lpstr>
      <vt:lpstr>LRMF 78 Electric Z6</vt:lpstr>
      <vt:lpstr>LRMF 78 Electric Z9</vt:lpstr>
      <vt:lpstr>LRMF 78 Electric Z10</vt:lpstr>
      <vt:lpstr>LRMF 78 Electric Z12</vt:lpstr>
      <vt:lpstr>HRMF NC Gas Z3</vt:lpstr>
      <vt:lpstr>HRMF NC Electric Z3</vt:lpstr>
      <vt:lpstr>HRMF NC Gas Z4</vt:lpstr>
      <vt:lpstr>HRMF NC Electric Z4</vt:lpstr>
      <vt:lpstr>HRMF NC Gas Z6</vt:lpstr>
      <vt:lpstr>HRMF NC Electric Z6</vt:lpstr>
      <vt:lpstr>HRMF NC Gas Z9</vt:lpstr>
      <vt:lpstr>HRMF NC Electric Z9</vt:lpstr>
      <vt:lpstr>HRMF NC Gas Z10</vt:lpstr>
      <vt:lpstr>HRMF NC Electric Z10</vt:lpstr>
      <vt:lpstr>HRMF NC Gas Z12</vt:lpstr>
      <vt:lpstr>HRMF NC Electric Z12</vt:lpstr>
      <vt:lpstr>HRMF 90 Gas Z3</vt:lpstr>
      <vt:lpstr>HRMF 90 Electric Z3</vt:lpstr>
      <vt:lpstr>HRMF 90 Gas Z4</vt:lpstr>
      <vt:lpstr>HRMF 90 Electric Z4</vt:lpstr>
      <vt:lpstr>HRMF 90 Gas Z6</vt:lpstr>
      <vt:lpstr>HRMF 90 Electric Z6</vt:lpstr>
      <vt:lpstr>HRMF 90 Gas Z9</vt:lpstr>
      <vt:lpstr>HRMF 90 Electric Z9</vt:lpstr>
      <vt:lpstr>HRMF 90 Gas Z10</vt:lpstr>
      <vt:lpstr>HRMF 90 Electric Z10</vt:lpstr>
      <vt:lpstr>HRMF 90 Gas Z12</vt:lpstr>
      <vt:lpstr>HRMF 90 Electric Z12</vt:lpstr>
      <vt:lpstr>HRMF 78 Gas Z3</vt:lpstr>
      <vt:lpstr>HRMF 78 Electric Z3</vt:lpstr>
      <vt:lpstr>HRMF 78 Gas Z4</vt:lpstr>
      <vt:lpstr>HRMF 78 Electric Z4</vt:lpstr>
      <vt:lpstr>HRMF 78 Gas Z6</vt:lpstr>
      <vt:lpstr>HRMF 78 Electric Z6</vt:lpstr>
      <vt:lpstr>HRMF 78 Gas Z9</vt:lpstr>
      <vt:lpstr>HRMF 78 Electric Z9</vt:lpstr>
      <vt:lpstr>HRMF 78 Gas Z10</vt:lpstr>
      <vt:lpstr>HRMF 78 Electric Z10</vt:lpstr>
      <vt:lpstr>HRMF 78 Gas Z12</vt:lpstr>
      <vt:lpstr>HRMF 78 Electric Z12</vt:lpstr>
      <vt:lpstr>HVAC</vt:lpstr>
      <vt:lpstr>zone_lu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DorranCarys</dc:creator>
  <cp:lastModifiedBy>Charles Li</cp:lastModifiedBy>
  <cp:lastPrinted>2018-07-25T04:49:37Z</cp:lastPrinted>
  <dcterms:created xsi:type="dcterms:W3CDTF">2018-07-18T17:28:48Z</dcterms:created>
  <dcterms:modified xsi:type="dcterms:W3CDTF">2018-12-13T23:50:38Z</dcterms:modified>
</cp:coreProperties>
</file>