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230" documentId="13_ncr:1_{EEB2D78C-51FA-4DCC-BD6E-627652F5BE31}" xr6:coauthVersionLast="47" xr6:coauthVersionMax="47" xr10:uidLastSave="{C2F51A4E-E834-403C-9D5D-EC1781EAD66B}"/>
  <bookViews>
    <workbookView xWindow="1740" yWindow="0" windowWidth="21180" windowHeight="10728" tabRatio="889" firstSheet="5" activeTab="40" xr2:uid="{00000000-000D-0000-FFFF-FFFF00000000}"/>
  </bookViews>
  <sheets>
    <sheet name="Summary" sheetId="49" r:id="rId1"/>
    <sheet name="Cost Assumptions" sheetId="48" r:id="rId2"/>
    <sheet name="SF NC Gas WH Z12 gas storage" sheetId="111" r:id="rId3"/>
    <sheet name="SF 90 Gas WH Z12" sheetId="103" state="hidden" r:id="rId4"/>
    <sheet name="Water and Cooking" sheetId="1" state="hidden" r:id="rId5"/>
    <sheet name="SF NC Gas WH Z3" sheetId="2" r:id="rId6"/>
    <sheet name="SF NC Electric WH Z3 S" sheetId="3" r:id="rId7"/>
    <sheet name="SF NC Electric WH Z3 O2" sheetId="9" r:id="rId8"/>
    <sheet name="SF 90 Gas WH Z3" sheetId="4" state="hidden" r:id="rId9"/>
    <sheet name="SF 90 Electric WH Z3 S" sheetId="5" state="hidden" r:id="rId10"/>
    <sheet name="SF 90 Electric WH Z3 O1" sheetId="27" state="hidden" r:id="rId11"/>
    <sheet name="SF 90 Electric WH Z3 O2" sheetId="26" state="hidden" r:id="rId12"/>
    <sheet name="SF 78 Gas WH Z3" sheetId="6" state="hidden" r:id="rId13"/>
    <sheet name="SF 78 Electric WH Z3 S" sheetId="7" state="hidden" r:id="rId14"/>
    <sheet name="SF 78 Electric WH Z3 O1" sheetId="28" state="hidden" r:id="rId15"/>
    <sheet name="SF 78 Electric WH Z3 O2" sheetId="29" state="hidden" r:id="rId16"/>
    <sheet name="SF NC Gas WH Z4" sheetId="50" state="hidden" r:id="rId17"/>
    <sheet name="SF NC Electric WH Z4 S" sheetId="51" state="hidden" r:id="rId18"/>
    <sheet name="SF NC Electric WH Z4 O1" sheetId="52" state="hidden" r:id="rId19"/>
    <sheet name="SF NC Electric WH Z4 O2" sheetId="53" state="hidden" r:id="rId20"/>
    <sheet name="SF 90 Gas WH Z4" sheetId="54" state="hidden" r:id="rId21"/>
    <sheet name="SF 90 Electric WH Z4 S" sheetId="55" state="hidden" r:id="rId22"/>
    <sheet name="SF 90 Electric WH Z4 O1" sheetId="56" state="hidden" r:id="rId23"/>
    <sheet name="SF 90 Electric WH Z4 O2" sheetId="57" state="hidden" r:id="rId24"/>
    <sheet name="SF 78 Gas WH Z4" sheetId="58" state="hidden" r:id="rId25"/>
    <sheet name="SF 78 Electric WH Z4 S" sheetId="59" state="hidden" r:id="rId26"/>
    <sheet name="SF 78 Electric WH Z4 O1" sheetId="60" state="hidden" r:id="rId27"/>
    <sheet name="SF 78 Electric WH Z4 O2" sheetId="61" state="hidden" r:id="rId28"/>
    <sheet name="SF NC Gas WH Z6" sheetId="62" state="hidden" r:id="rId29"/>
    <sheet name="SF NC Electric WH Z6 S" sheetId="63" state="hidden" r:id="rId30"/>
    <sheet name="SF NC Electric WH Z6 O1" sheetId="64" state="hidden" r:id="rId31"/>
    <sheet name="SF NC Electric WH Z6 O2" sheetId="65" state="hidden" r:id="rId32"/>
    <sheet name="SF 90 Gas WH Z6" sheetId="66" state="hidden" r:id="rId33"/>
    <sheet name="SF 90 Electric WH Z6 S" sheetId="67" state="hidden" r:id="rId34"/>
    <sheet name="SF 90 Electric WH Z6 O1" sheetId="68" state="hidden" r:id="rId35"/>
    <sheet name="SF 90 Electric WH Z6 O2" sheetId="69" state="hidden" r:id="rId36"/>
    <sheet name="SF 78 Gas WH Z6" sheetId="70" state="hidden" r:id="rId37"/>
    <sheet name="SF 78 Electric WH Z6 S" sheetId="71" state="hidden" r:id="rId38"/>
    <sheet name="SF 78 Electric WH Z6 O1" sheetId="72" state="hidden" r:id="rId39"/>
    <sheet name="SF 78 Electric WH Z6 O2" sheetId="73" state="hidden" r:id="rId40"/>
    <sheet name="SF NC Electric WH Z3 ER" sheetId="112" r:id="rId41"/>
    <sheet name="SF NC Gas WH Z9" sheetId="74" r:id="rId42"/>
    <sheet name="SF NC Electric WH Z9 S" sheetId="75" state="hidden" r:id="rId43"/>
    <sheet name="SF NC Electric WH Z9 O1" sheetId="76" state="hidden" r:id="rId44"/>
    <sheet name="SF NC Electric WH Z9 O2" sheetId="77" state="hidden" r:id="rId45"/>
    <sheet name="SF 90 Gas WH Z9" sheetId="78" state="hidden" r:id="rId46"/>
    <sheet name="SF 90 Electric WH Z9 S" sheetId="79" state="hidden" r:id="rId47"/>
    <sheet name="SF 90 Electric WH Z9 O1" sheetId="80" state="hidden" r:id="rId48"/>
    <sheet name="SF 90 Electric WH Z9 O2" sheetId="81" state="hidden" r:id="rId49"/>
    <sheet name="SF 78 Gas WH Z9" sheetId="82" state="hidden" r:id="rId50"/>
    <sheet name="SF 78 Electric WH Z9 S" sheetId="83" state="hidden" r:id="rId51"/>
    <sheet name="SF 78 Electric WH Z9 O1" sheetId="84" state="hidden" r:id="rId52"/>
    <sheet name="SF 78 Electric WH Z9 O2" sheetId="85" state="hidden" r:id="rId53"/>
    <sheet name="SF NC Gas WH Z10" sheetId="87" state="hidden" r:id="rId54"/>
    <sheet name="SF NC Electric WH Z10 S" sheetId="88" state="hidden" r:id="rId55"/>
    <sheet name="SF NC Electric WH Z10 O1" sheetId="89" state="hidden" r:id="rId56"/>
    <sheet name="SF NC Electric WH Z10 O2" sheetId="90" state="hidden" r:id="rId57"/>
    <sheet name="SF 90 Gas WH Z10" sheetId="91" state="hidden" r:id="rId58"/>
    <sheet name="SF 90 Electric WH Z10 S" sheetId="92" state="hidden" r:id="rId59"/>
    <sheet name="SF 90 Electric WH Z10 O1" sheetId="93" state="hidden" r:id="rId60"/>
    <sheet name="SF 90 Electric WH Z10 O2" sheetId="94" state="hidden" r:id="rId61"/>
    <sheet name="SF 78 Gas WH Z10" sheetId="95" state="hidden" r:id="rId62"/>
    <sheet name="SF 78 Electric WH Z10 S" sheetId="96" state="hidden" r:id="rId63"/>
    <sheet name="SF 78 Electric WH Z10 O1" sheetId="97" state="hidden" r:id="rId64"/>
    <sheet name="SF 78 Electric WH Z10 O2" sheetId="98" state="hidden" r:id="rId65"/>
    <sheet name="SF NC Gas WH Z12" sheetId="99" state="hidden" r:id="rId66"/>
    <sheet name="SF NC Electric WH Z12 S" sheetId="100" state="hidden" r:id="rId67"/>
    <sheet name="SF NC Electric WH Z12 O1" sheetId="101" state="hidden" r:id="rId68"/>
    <sheet name="SF NC Electric WH Z12 O2" sheetId="102" state="hidden" r:id="rId69"/>
    <sheet name="SF 90 Electric WH Z12 S" sheetId="104" state="hidden" r:id="rId70"/>
    <sheet name="SF 90 Electric WH Z12 O1" sheetId="105" state="hidden" r:id="rId71"/>
    <sheet name="SF 90 Electric WH Z12 O2" sheetId="106" state="hidden" r:id="rId72"/>
    <sheet name="SF 78 Gas WH Z12" sheetId="107" state="hidden" r:id="rId73"/>
    <sheet name="SF 78 Electric WH Z12 S" sheetId="108" state="hidden" r:id="rId74"/>
    <sheet name="SF 78 Electric WH Z12 O1" sheetId="109" state="hidden" r:id="rId75"/>
    <sheet name="SF 78 Electric WH Z12 O2" sheetId="110" state="hidden" r:id="rId76"/>
    <sheet name="LRMF NC Gas" sheetId="8" state="hidden" r:id="rId77"/>
    <sheet name="LRMF NC Electric S" sheetId="11" state="hidden" r:id="rId78"/>
    <sheet name="LRMF NC Electric O1" sheetId="16" state="hidden" r:id="rId79"/>
    <sheet name="LRMF NC Electric O2" sheetId="17" state="hidden" r:id="rId80"/>
    <sheet name="LRMF 90 Gas" sheetId="12" state="hidden" r:id="rId81"/>
    <sheet name="LRMF 90 Electric S" sheetId="14" state="hidden" r:id="rId82"/>
    <sheet name="LRMF 90 Electric O1" sheetId="30" state="hidden" r:id="rId83"/>
    <sheet name="LRMF 90 Electric O2" sheetId="31" state="hidden" r:id="rId84"/>
    <sheet name="LRMF 78 Gas" sheetId="13" state="hidden" r:id="rId85"/>
    <sheet name="LRMF 78 Electric S" sheetId="15" state="hidden" r:id="rId86"/>
  </sheets>
  <definedNames>
    <definedName name="zone_lu">'Cost Assumptions'!$B$4:$J$9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112" l="1"/>
  <c r="H41" i="112"/>
  <c r="H39" i="112"/>
  <c r="E36" i="112"/>
  <c r="E34" i="112"/>
  <c r="E32" i="112"/>
  <c r="H31" i="112"/>
  <c r="H27" i="112"/>
  <c r="G27" i="112"/>
  <c r="H24" i="112"/>
  <c r="H22" i="112"/>
  <c r="G22" i="112"/>
  <c r="H21" i="112"/>
  <c r="H20" i="112"/>
  <c r="H18" i="112"/>
  <c r="H17" i="112"/>
  <c r="G17" i="112"/>
  <c r="H16" i="112"/>
  <c r="H15" i="112"/>
  <c r="H13" i="112"/>
  <c r="H12" i="112"/>
  <c r="H28" i="112" s="1"/>
  <c r="H11" i="112"/>
  <c r="O1" i="112"/>
  <c r="I7" i="49"/>
  <c r="H7" i="49"/>
  <c r="J7" i="49"/>
  <c r="E7" i="49"/>
  <c r="O7" i="49"/>
  <c r="D7" i="49"/>
  <c r="C7" i="49"/>
  <c r="H30" i="112" l="1"/>
  <c r="H32" i="112" l="1"/>
  <c r="K7" i="49"/>
  <c r="H34" i="112" l="1"/>
  <c r="H36" i="112" s="1"/>
  <c r="L7" i="49"/>
  <c r="M7" i="49"/>
  <c r="H40" i="112" l="1"/>
  <c r="H38" i="112"/>
  <c r="F7" i="49"/>
  <c r="N7" i="49"/>
  <c r="G7" i="49" l="1"/>
  <c r="G14" i="111" l="1"/>
  <c r="O5" i="49"/>
  <c r="O8" i="49"/>
  <c r="O9" i="49"/>
  <c r="O6" i="49"/>
  <c r="O4" i="49"/>
  <c r="D15" i="111" l="1"/>
  <c r="H41" i="111"/>
  <c r="H39" i="111"/>
  <c r="E36" i="111"/>
  <c r="E34" i="111"/>
  <c r="E32" i="111"/>
  <c r="H31" i="111"/>
  <c r="G27" i="111"/>
  <c r="H27" i="111" s="1"/>
  <c r="H26" i="111"/>
  <c r="H24" i="111"/>
  <c r="G22" i="111"/>
  <c r="H22" i="111" s="1"/>
  <c r="H21" i="111"/>
  <c r="H20" i="111"/>
  <c r="H18" i="111"/>
  <c r="G17" i="111"/>
  <c r="H17" i="111" s="1"/>
  <c r="H16" i="111"/>
  <c r="H15" i="111"/>
  <c r="H14" i="111"/>
  <c r="H13" i="111"/>
  <c r="H12" i="111"/>
  <c r="H11" i="111"/>
  <c r="H10" i="111"/>
  <c r="O1" i="111"/>
  <c r="H26" i="74"/>
  <c r="H30" i="111" l="1"/>
  <c r="H28" i="111"/>
  <c r="E36" i="99"/>
  <c r="E34" i="99"/>
  <c r="E32" i="99"/>
  <c r="E36" i="100"/>
  <c r="E34" i="100"/>
  <c r="E32" i="100"/>
  <c r="E36" i="101"/>
  <c r="E34" i="101"/>
  <c r="E32" i="101"/>
  <c r="E36" i="102"/>
  <c r="E34" i="102"/>
  <c r="E32" i="102"/>
  <c r="E36" i="87"/>
  <c r="E34" i="87"/>
  <c r="E32" i="87"/>
  <c r="E36" i="88"/>
  <c r="E34" i="88"/>
  <c r="E32" i="88"/>
  <c r="E36" i="89"/>
  <c r="E34" i="89"/>
  <c r="E32" i="89"/>
  <c r="E36" i="90"/>
  <c r="E34" i="90"/>
  <c r="E32" i="90"/>
  <c r="E36" i="74"/>
  <c r="E34" i="74"/>
  <c r="E32" i="74"/>
  <c r="E36" i="75"/>
  <c r="E34" i="75"/>
  <c r="E32" i="75"/>
  <c r="E36" i="76"/>
  <c r="E34" i="76"/>
  <c r="E32" i="76"/>
  <c r="E36" i="77"/>
  <c r="E34" i="77"/>
  <c r="E32" i="77"/>
  <c r="E36" i="62"/>
  <c r="E34" i="62"/>
  <c r="E32" i="62"/>
  <c r="E36" i="63"/>
  <c r="E34" i="63"/>
  <c r="E32" i="63"/>
  <c r="E36" i="64"/>
  <c r="E34" i="64"/>
  <c r="E32" i="64"/>
  <c r="E36" i="65"/>
  <c r="E34" i="65"/>
  <c r="E32" i="65"/>
  <c r="E36" i="50"/>
  <c r="E34" i="50"/>
  <c r="E32" i="50"/>
  <c r="E36" i="51"/>
  <c r="E34" i="51"/>
  <c r="E32" i="51"/>
  <c r="E36" i="52"/>
  <c r="E34" i="52"/>
  <c r="E32" i="52"/>
  <c r="E36" i="53"/>
  <c r="E34" i="53"/>
  <c r="E32" i="53"/>
  <c r="E36" i="3"/>
  <c r="E34" i="3"/>
  <c r="E32" i="3"/>
  <c r="E36" i="9"/>
  <c r="E34" i="9"/>
  <c r="E32" i="9"/>
  <c r="E34" i="2"/>
  <c r="E32" i="2"/>
  <c r="G27" i="77"/>
  <c r="H27" i="77" s="1"/>
  <c r="H24" i="77"/>
  <c r="G27" i="108"/>
  <c r="H27" i="108" s="1"/>
  <c r="H24" i="108"/>
  <c r="G22" i="108"/>
  <c r="H22" i="108" s="1"/>
  <c r="H21" i="108"/>
  <c r="H20" i="108"/>
  <c r="H18" i="108"/>
  <c r="G17" i="108"/>
  <c r="H17" i="108" s="1"/>
  <c r="G27" i="109"/>
  <c r="H27" i="109" s="1"/>
  <c r="H24" i="109"/>
  <c r="G22" i="109"/>
  <c r="H22" i="109" s="1"/>
  <c r="H21" i="109"/>
  <c r="H20" i="109"/>
  <c r="H18" i="109"/>
  <c r="G17" i="109"/>
  <c r="H17" i="109" s="1"/>
  <c r="G27" i="110"/>
  <c r="H27" i="110" s="1"/>
  <c r="H24" i="110"/>
  <c r="G22" i="110"/>
  <c r="H22" i="110" s="1"/>
  <c r="H21" i="110"/>
  <c r="H20" i="110"/>
  <c r="H18" i="110"/>
  <c r="G17" i="110"/>
  <c r="H17" i="110" s="1"/>
  <c r="G27" i="104"/>
  <c r="H27" i="104" s="1"/>
  <c r="H24" i="104"/>
  <c r="G22" i="104"/>
  <c r="H22" i="104" s="1"/>
  <c r="H21" i="104"/>
  <c r="H20" i="104"/>
  <c r="H18" i="104"/>
  <c r="G17" i="104"/>
  <c r="H17" i="104" s="1"/>
  <c r="G27" i="105"/>
  <c r="H27" i="105" s="1"/>
  <c r="H24" i="105"/>
  <c r="G22" i="105"/>
  <c r="H22" i="105" s="1"/>
  <c r="H21" i="105"/>
  <c r="H20" i="105"/>
  <c r="H18" i="105"/>
  <c r="G17" i="105"/>
  <c r="H17" i="105" s="1"/>
  <c r="G27" i="106"/>
  <c r="H27" i="106" s="1"/>
  <c r="H24" i="106"/>
  <c r="G22" i="106"/>
  <c r="H22" i="106" s="1"/>
  <c r="H21" i="106"/>
  <c r="H20" i="106"/>
  <c r="H18" i="106"/>
  <c r="G17" i="106"/>
  <c r="H17" i="106" s="1"/>
  <c r="G27" i="96"/>
  <c r="H27" i="96" s="1"/>
  <c r="H24" i="96"/>
  <c r="G22" i="96"/>
  <c r="H22" i="96" s="1"/>
  <c r="H21" i="96"/>
  <c r="H20" i="96"/>
  <c r="H18" i="96"/>
  <c r="G17" i="96"/>
  <c r="H17" i="96" s="1"/>
  <c r="G27" i="97"/>
  <c r="H27" i="97" s="1"/>
  <c r="H24" i="97"/>
  <c r="G22" i="97"/>
  <c r="H22" i="97" s="1"/>
  <c r="H21" i="97"/>
  <c r="H20" i="97"/>
  <c r="H18" i="97"/>
  <c r="G17" i="97"/>
  <c r="H17" i="97" s="1"/>
  <c r="G27" i="98"/>
  <c r="H27" i="98" s="1"/>
  <c r="H24" i="98"/>
  <c r="G22" i="98"/>
  <c r="H22" i="98" s="1"/>
  <c r="H21" i="98"/>
  <c r="H20" i="98"/>
  <c r="H18" i="98"/>
  <c r="G17" i="98"/>
  <c r="H17" i="98" s="1"/>
  <c r="G27" i="92"/>
  <c r="H27" i="92" s="1"/>
  <c r="H24" i="92"/>
  <c r="G22" i="92"/>
  <c r="H22" i="92" s="1"/>
  <c r="H21" i="92"/>
  <c r="H20" i="92"/>
  <c r="H18" i="92"/>
  <c r="G17" i="92"/>
  <c r="H17" i="92" s="1"/>
  <c r="G27" i="93"/>
  <c r="H27" i="93" s="1"/>
  <c r="H24" i="93"/>
  <c r="G22" i="93"/>
  <c r="H22" i="93" s="1"/>
  <c r="H21" i="93"/>
  <c r="H20" i="93"/>
  <c r="H18" i="93"/>
  <c r="G17" i="93"/>
  <c r="H17" i="93" s="1"/>
  <c r="G27" i="94"/>
  <c r="H27" i="94" s="1"/>
  <c r="H24" i="94"/>
  <c r="G22" i="94"/>
  <c r="H22" i="94" s="1"/>
  <c r="H21" i="94"/>
  <c r="H20" i="94"/>
  <c r="H18" i="94"/>
  <c r="G17" i="94"/>
  <c r="H17" i="94" s="1"/>
  <c r="G27" i="83"/>
  <c r="H27" i="83" s="1"/>
  <c r="H24" i="83"/>
  <c r="G22" i="83"/>
  <c r="H22" i="83" s="1"/>
  <c r="H21" i="83"/>
  <c r="H20" i="83"/>
  <c r="H18" i="83"/>
  <c r="G17" i="83"/>
  <c r="H17" i="83" s="1"/>
  <c r="G27" i="84"/>
  <c r="H27" i="84" s="1"/>
  <c r="H24" i="84"/>
  <c r="G22" i="84"/>
  <c r="H22" i="84" s="1"/>
  <c r="H21" i="84"/>
  <c r="H20" i="84"/>
  <c r="H18" i="84"/>
  <c r="G17" i="84"/>
  <c r="H17" i="84" s="1"/>
  <c r="G27" i="85"/>
  <c r="H27" i="85" s="1"/>
  <c r="H24" i="85"/>
  <c r="G22" i="85"/>
  <c r="H22" i="85" s="1"/>
  <c r="H21" i="85"/>
  <c r="H20" i="85"/>
  <c r="H18" i="85"/>
  <c r="G17" i="85"/>
  <c r="H17" i="85" s="1"/>
  <c r="G27" i="79"/>
  <c r="H27" i="79" s="1"/>
  <c r="H24" i="79"/>
  <c r="G22" i="79"/>
  <c r="H22" i="79" s="1"/>
  <c r="H21" i="79"/>
  <c r="H20" i="79"/>
  <c r="H18" i="79"/>
  <c r="G17" i="79"/>
  <c r="H17" i="79" s="1"/>
  <c r="G27" i="80"/>
  <c r="H27" i="80" s="1"/>
  <c r="H24" i="80"/>
  <c r="G22" i="80"/>
  <c r="H22" i="80" s="1"/>
  <c r="H21" i="80"/>
  <c r="H20" i="80"/>
  <c r="H18" i="80"/>
  <c r="G17" i="80"/>
  <c r="H17" i="80" s="1"/>
  <c r="G27" i="81"/>
  <c r="H27" i="81" s="1"/>
  <c r="H24" i="81"/>
  <c r="G22" i="81"/>
  <c r="H22" i="81" s="1"/>
  <c r="H21" i="81"/>
  <c r="H20" i="81"/>
  <c r="H18" i="81"/>
  <c r="G17" i="81"/>
  <c r="H17" i="81" s="1"/>
  <c r="G27" i="71"/>
  <c r="H27" i="71" s="1"/>
  <c r="H24" i="71"/>
  <c r="G22" i="71"/>
  <c r="H22" i="71" s="1"/>
  <c r="H21" i="71"/>
  <c r="H20" i="71"/>
  <c r="H18" i="71"/>
  <c r="G17" i="71"/>
  <c r="H17" i="71" s="1"/>
  <c r="G27" i="72"/>
  <c r="H27" i="72" s="1"/>
  <c r="H24" i="72"/>
  <c r="G22" i="72"/>
  <c r="H22" i="72" s="1"/>
  <c r="H21" i="72"/>
  <c r="H20" i="72"/>
  <c r="H18" i="72"/>
  <c r="G17" i="72"/>
  <c r="H17" i="72" s="1"/>
  <c r="G27" i="73"/>
  <c r="H27" i="73" s="1"/>
  <c r="H24" i="73"/>
  <c r="G22" i="73"/>
  <c r="H22" i="73" s="1"/>
  <c r="H21" i="73"/>
  <c r="H20" i="73"/>
  <c r="H18" i="73"/>
  <c r="G17" i="73"/>
  <c r="H17" i="73" s="1"/>
  <c r="G27" i="67"/>
  <c r="H27" i="67" s="1"/>
  <c r="H24" i="67"/>
  <c r="G22" i="67"/>
  <c r="H22" i="67" s="1"/>
  <c r="H21" i="67"/>
  <c r="H20" i="67"/>
  <c r="H18" i="67"/>
  <c r="G17" i="67"/>
  <c r="H17" i="67" s="1"/>
  <c r="G27" i="68"/>
  <c r="H27" i="68" s="1"/>
  <c r="H24" i="68"/>
  <c r="G22" i="68"/>
  <c r="H22" i="68" s="1"/>
  <c r="H21" i="68"/>
  <c r="H20" i="68"/>
  <c r="H18" i="68"/>
  <c r="G17" i="68"/>
  <c r="H17" i="68" s="1"/>
  <c r="G27" i="69"/>
  <c r="H27" i="69" s="1"/>
  <c r="H24" i="69"/>
  <c r="G22" i="69"/>
  <c r="H22" i="69" s="1"/>
  <c r="H21" i="69"/>
  <c r="H20" i="69"/>
  <c r="H18" i="69"/>
  <c r="G17" i="69"/>
  <c r="H17" i="69" s="1"/>
  <c r="G27" i="59"/>
  <c r="H27" i="59" s="1"/>
  <c r="H24" i="59"/>
  <c r="G22" i="59"/>
  <c r="H22" i="59" s="1"/>
  <c r="H21" i="59"/>
  <c r="H20" i="59"/>
  <c r="H18" i="59"/>
  <c r="G17" i="59"/>
  <c r="H17" i="59" s="1"/>
  <c r="G27" i="60"/>
  <c r="H27" i="60" s="1"/>
  <c r="H24" i="60"/>
  <c r="G22" i="60"/>
  <c r="H22" i="60" s="1"/>
  <c r="H21" i="60"/>
  <c r="H20" i="60"/>
  <c r="H18" i="60"/>
  <c r="G17" i="60"/>
  <c r="H17" i="60" s="1"/>
  <c r="G27" i="61"/>
  <c r="H27" i="61" s="1"/>
  <c r="H24" i="61"/>
  <c r="G22" i="61"/>
  <c r="H22" i="61" s="1"/>
  <c r="H21" i="61"/>
  <c r="H20" i="61"/>
  <c r="H18" i="61"/>
  <c r="G17" i="61"/>
  <c r="H17" i="61" s="1"/>
  <c r="G27" i="55"/>
  <c r="H27" i="55" s="1"/>
  <c r="H24" i="55"/>
  <c r="G22" i="55"/>
  <c r="H22" i="55" s="1"/>
  <c r="H21" i="55"/>
  <c r="H20" i="55"/>
  <c r="H18" i="55"/>
  <c r="G17" i="55"/>
  <c r="H17" i="55" s="1"/>
  <c r="G27" i="56"/>
  <c r="H27" i="56" s="1"/>
  <c r="H24" i="56"/>
  <c r="G22" i="56"/>
  <c r="H22" i="56" s="1"/>
  <c r="H21" i="56"/>
  <c r="H20" i="56"/>
  <c r="H18" i="56"/>
  <c r="G17" i="56"/>
  <c r="H17" i="56" s="1"/>
  <c r="G27" i="57"/>
  <c r="H27" i="57" s="1"/>
  <c r="H24" i="57"/>
  <c r="G22" i="57"/>
  <c r="H22" i="57" s="1"/>
  <c r="H21" i="57"/>
  <c r="H20" i="57"/>
  <c r="H18" i="57"/>
  <c r="G17" i="57"/>
  <c r="H17" i="57" s="1"/>
  <c r="G27" i="7"/>
  <c r="H27" i="7" s="1"/>
  <c r="H24" i="7"/>
  <c r="G22" i="7"/>
  <c r="H22" i="7" s="1"/>
  <c r="H21" i="7"/>
  <c r="H20" i="7"/>
  <c r="H18" i="7"/>
  <c r="G17" i="7"/>
  <c r="H17" i="7" s="1"/>
  <c r="G27" i="28"/>
  <c r="H27" i="28" s="1"/>
  <c r="H24" i="28"/>
  <c r="G22" i="28"/>
  <c r="H22" i="28" s="1"/>
  <c r="H21" i="28"/>
  <c r="H20" i="28"/>
  <c r="H18" i="28"/>
  <c r="G17" i="28"/>
  <c r="H17" i="28" s="1"/>
  <c r="G27" i="29"/>
  <c r="H27" i="29" s="1"/>
  <c r="H24" i="29"/>
  <c r="G22" i="29"/>
  <c r="H22" i="29" s="1"/>
  <c r="H21" i="29"/>
  <c r="H20" i="29"/>
  <c r="H18" i="29"/>
  <c r="G17" i="29"/>
  <c r="H17" i="29" s="1"/>
  <c r="G27" i="26"/>
  <c r="H27" i="26" s="1"/>
  <c r="H24" i="26"/>
  <c r="G22" i="26"/>
  <c r="H22" i="26" s="1"/>
  <c r="H21" i="26"/>
  <c r="H20" i="26"/>
  <c r="H18" i="26"/>
  <c r="G17" i="26"/>
  <c r="H17" i="26" s="1"/>
  <c r="G27" i="27"/>
  <c r="H27" i="27" s="1"/>
  <c r="H24" i="27"/>
  <c r="G22" i="27"/>
  <c r="H22" i="27" s="1"/>
  <c r="H21" i="27"/>
  <c r="H20" i="27"/>
  <c r="H18" i="27"/>
  <c r="G17" i="27"/>
  <c r="H17" i="27" s="1"/>
  <c r="G22" i="107"/>
  <c r="H22" i="107" s="1"/>
  <c r="H21" i="107"/>
  <c r="H20" i="107"/>
  <c r="H18" i="107"/>
  <c r="G17" i="107"/>
  <c r="H17" i="107" s="1"/>
  <c r="G22" i="103"/>
  <c r="H22" i="103" s="1"/>
  <c r="H21" i="103"/>
  <c r="H20" i="103"/>
  <c r="H18" i="103"/>
  <c r="G17" i="103"/>
  <c r="H17" i="103" s="1"/>
  <c r="G22" i="95"/>
  <c r="H22" i="95" s="1"/>
  <c r="H21" i="95"/>
  <c r="H20" i="95"/>
  <c r="H18" i="95"/>
  <c r="G17" i="95"/>
  <c r="H17" i="95" s="1"/>
  <c r="G22" i="91"/>
  <c r="H22" i="91" s="1"/>
  <c r="H21" i="91"/>
  <c r="H20" i="91"/>
  <c r="H18" i="91"/>
  <c r="G17" i="91"/>
  <c r="H17" i="91" s="1"/>
  <c r="G22" i="82"/>
  <c r="H22" i="82" s="1"/>
  <c r="H21" i="82"/>
  <c r="H20" i="82"/>
  <c r="H18" i="82"/>
  <c r="G17" i="82"/>
  <c r="H17" i="82" s="1"/>
  <c r="G22" i="78"/>
  <c r="H22" i="78" s="1"/>
  <c r="H21" i="78"/>
  <c r="H20" i="78"/>
  <c r="H18" i="78"/>
  <c r="G17" i="78"/>
  <c r="H17" i="78" s="1"/>
  <c r="G22" i="70"/>
  <c r="H22" i="70" s="1"/>
  <c r="H21" i="70"/>
  <c r="H20" i="70"/>
  <c r="H18" i="70"/>
  <c r="G17" i="70"/>
  <c r="H17" i="70" s="1"/>
  <c r="G22" i="66"/>
  <c r="H22" i="66" s="1"/>
  <c r="H21" i="66"/>
  <c r="H20" i="66"/>
  <c r="H18" i="66"/>
  <c r="G17" i="66"/>
  <c r="H17" i="66" s="1"/>
  <c r="G22" i="58"/>
  <c r="H22" i="58" s="1"/>
  <c r="H21" i="58"/>
  <c r="H20" i="58"/>
  <c r="H18" i="58"/>
  <c r="G17" i="58"/>
  <c r="H17" i="58" s="1"/>
  <c r="G27" i="100"/>
  <c r="H27" i="100" s="1"/>
  <c r="H24" i="100"/>
  <c r="G22" i="100"/>
  <c r="H22" i="100" s="1"/>
  <c r="G27" i="101"/>
  <c r="H27" i="101" s="1"/>
  <c r="H24" i="101"/>
  <c r="G22" i="101"/>
  <c r="H22" i="101" s="1"/>
  <c r="G27" i="102"/>
  <c r="H27" i="102" s="1"/>
  <c r="H24" i="102"/>
  <c r="G22" i="102"/>
  <c r="H22" i="102" s="1"/>
  <c r="G27" i="88"/>
  <c r="H27" i="88" s="1"/>
  <c r="H24" i="88"/>
  <c r="G22" i="88"/>
  <c r="H22" i="88" s="1"/>
  <c r="G27" i="89"/>
  <c r="H27" i="89" s="1"/>
  <c r="H24" i="89"/>
  <c r="G22" i="89"/>
  <c r="H22" i="89" s="1"/>
  <c r="G27" i="90"/>
  <c r="H27" i="90" s="1"/>
  <c r="H24" i="90"/>
  <c r="G22" i="90"/>
  <c r="H22" i="90" s="1"/>
  <c r="G27" i="74"/>
  <c r="H27" i="74" s="1"/>
  <c r="H24" i="74"/>
  <c r="G22" i="74"/>
  <c r="H22" i="74" s="1"/>
  <c r="G27" i="75"/>
  <c r="H27" i="75" s="1"/>
  <c r="H24" i="75"/>
  <c r="G22" i="75"/>
  <c r="H22" i="75" s="1"/>
  <c r="G27" i="76"/>
  <c r="H27" i="76" s="1"/>
  <c r="H24" i="76"/>
  <c r="G22" i="76"/>
  <c r="H22" i="76" s="1"/>
  <c r="G27" i="63"/>
  <c r="H27" i="63" s="1"/>
  <c r="H24" i="63"/>
  <c r="G22" i="63"/>
  <c r="H22" i="63" s="1"/>
  <c r="G27" i="64"/>
  <c r="H27" i="64" s="1"/>
  <c r="H24" i="64"/>
  <c r="G22" i="64"/>
  <c r="H22" i="64" s="1"/>
  <c r="G27" i="65"/>
  <c r="H27" i="65" s="1"/>
  <c r="H24" i="65"/>
  <c r="G22" i="65"/>
  <c r="H22" i="65" s="1"/>
  <c r="G27" i="51"/>
  <c r="H27" i="51" s="1"/>
  <c r="H24" i="51"/>
  <c r="G22" i="51"/>
  <c r="H22" i="51" s="1"/>
  <c r="G27" i="52"/>
  <c r="H27" i="52" s="1"/>
  <c r="H24" i="52"/>
  <c r="G22" i="52"/>
  <c r="H22" i="52" s="1"/>
  <c r="G27" i="53"/>
  <c r="H27" i="53" s="1"/>
  <c r="H24" i="53"/>
  <c r="G22" i="53"/>
  <c r="H22" i="53" s="1"/>
  <c r="G27" i="9"/>
  <c r="H27" i="9" s="1"/>
  <c r="H24" i="9"/>
  <c r="G22" i="9"/>
  <c r="H22" i="9" s="1"/>
  <c r="G27" i="3"/>
  <c r="H27" i="3" s="1"/>
  <c r="H24" i="3"/>
  <c r="G27" i="99"/>
  <c r="H27" i="99" s="1"/>
  <c r="H26" i="99"/>
  <c r="H24" i="99"/>
  <c r="G27" i="87"/>
  <c r="H27" i="87" s="1"/>
  <c r="H26" i="87"/>
  <c r="H24" i="87"/>
  <c r="G27" i="62"/>
  <c r="H27" i="62" s="1"/>
  <c r="H26" i="62"/>
  <c r="H24" i="62"/>
  <c r="G27" i="50"/>
  <c r="H27" i="50" s="1"/>
  <c r="H26" i="50"/>
  <c r="H24" i="50"/>
  <c r="G27" i="2"/>
  <c r="H27" i="2" s="1"/>
  <c r="H26" i="2"/>
  <c r="H24" i="2"/>
  <c r="G27" i="5"/>
  <c r="H27" i="5" s="1"/>
  <c r="H24" i="5"/>
  <c r="H32" i="111" l="1"/>
  <c r="E38" i="4"/>
  <c r="E38" i="5"/>
  <c r="E38" i="27"/>
  <c r="E38" i="26"/>
  <c r="E38" i="6"/>
  <c r="E38" i="7"/>
  <c r="E38" i="28"/>
  <c r="E38" i="29"/>
  <c r="E38" i="54"/>
  <c r="E38" i="55"/>
  <c r="E38" i="56"/>
  <c r="E38" i="57"/>
  <c r="E38" i="58"/>
  <c r="E38" i="59"/>
  <c r="E38" i="60"/>
  <c r="E38" i="61"/>
  <c r="E38" i="66"/>
  <c r="E38" i="67"/>
  <c r="E38" i="68"/>
  <c r="E38" i="69"/>
  <c r="E38" i="70"/>
  <c r="E38" i="71"/>
  <c r="E38" i="72"/>
  <c r="E38" i="73"/>
  <c r="E38" i="78"/>
  <c r="E38" i="79"/>
  <c r="E38" i="80"/>
  <c r="E38" i="81"/>
  <c r="E38" i="82"/>
  <c r="E38" i="83"/>
  <c r="E38" i="84"/>
  <c r="E38" i="85"/>
  <c r="E38" i="91"/>
  <c r="E38" i="92"/>
  <c r="E38" i="93"/>
  <c r="E38" i="94"/>
  <c r="E38" i="95"/>
  <c r="E38" i="96"/>
  <c r="E38" i="97"/>
  <c r="E38" i="98"/>
  <c r="E38" i="103"/>
  <c r="E38" i="104"/>
  <c r="E38" i="105"/>
  <c r="E38" i="106"/>
  <c r="E38" i="107"/>
  <c r="E38" i="108"/>
  <c r="E38" i="109"/>
  <c r="E38" i="110"/>
  <c r="H8" i="49"/>
  <c r="E9" i="49"/>
  <c r="H9" i="49"/>
  <c r="D9" i="49"/>
  <c r="E8" i="49"/>
  <c r="I9" i="49"/>
  <c r="H5" i="49"/>
  <c r="H6" i="49"/>
  <c r="C9" i="49"/>
  <c r="D8" i="49"/>
  <c r="I5" i="49"/>
  <c r="I4" i="49"/>
  <c r="I8" i="49"/>
  <c r="I6" i="49"/>
  <c r="H34" i="111" l="1"/>
  <c r="H10" i="74"/>
  <c r="H10" i="75"/>
  <c r="H10" i="76"/>
  <c r="H10" i="77"/>
  <c r="H41" i="110"/>
  <c r="H39" i="110"/>
  <c r="E36" i="110"/>
  <c r="E34" i="110"/>
  <c r="E32" i="110"/>
  <c r="H31" i="110"/>
  <c r="H16" i="110"/>
  <c r="H15" i="110"/>
  <c r="H14" i="110"/>
  <c r="H13" i="110"/>
  <c r="H12" i="110"/>
  <c r="H11" i="110"/>
  <c r="H9" i="110"/>
  <c r="G8" i="110"/>
  <c r="H8" i="110" s="1"/>
  <c r="O1" i="110"/>
  <c r="H41" i="109"/>
  <c r="H39" i="109"/>
  <c r="E36" i="109"/>
  <c r="E34" i="109"/>
  <c r="E32" i="109"/>
  <c r="H31" i="109"/>
  <c r="H16" i="109"/>
  <c r="H15" i="109"/>
  <c r="H13" i="109"/>
  <c r="H12" i="109"/>
  <c r="H11" i="109"/>
  <c r="H9" i="109"/>
  <c r="G8" i="109"/>
  <c r="H8" i="109" s="1"/>
  <c r="O1" i="109"/>
  <c r="H41" i="108"/>
  <c r="H39" i="108"/>
  <c r="E36" i="108"/>
  <c r="E34" i="108"/>
  <c r="E32" i="108"/>
  <c r="H31" i="108"/>
  <c r="H16" i="108"/>
  <c r="H15" i="108"/>
  <c r="H14" i="108"/>
  <c r="H13" i="108"/>
  <c r="H12" i="108"/>
  <c r="H11" i="108"/>
  <c r="H9" i="108"/>
  <c r="G8" i="108"/>
  <c r="H8" i="108" s="1"/>
  <c r="O1" i="108"/>
  <c r="H41" i="107"/>
  <c r="H39" i="107"/>
  <c r="E36" i="107"/>
  <c r="E34" i="107"/>
  <c r="E32" i="107"/>
  <c r="H31" i="107"/>
  <c r="H16" i="107"/>
  <c r="H15" i="107"/>
  <c r="H14" i="107"/>
  <c r="H13" i="107"/>
  <c r="H12" i="107"/>
  <c r="H11" i="107"/>
  <c r="H9" i="107"/>
  <c r="G8" i="107"/>
  <c r="H8" i="107" s="1"/>
  <c r="O1" i="107"/>
  <c r="H41" i="106"/>
  <c r="H39" i="106"/>
  <c r="E36" i="106"/>
  <c r="E34" i="106"/>
  <c r="E32" i="106"/>
  <c r="H31" i="106"/>
  <c r="H16" i="106"/>
  <c r="H15" i="106"/>
  <c r="H14" i="106"/>
  <c r="H13" i="106"/>
  <c r="H12" i="106"/>
  <c r="H11" i="106"/>
  <c r="H9" i="106"/>
  <c r="G8" i="106"/>
  <c r="H8" i="106" s="1"/>
  <c r="O1" i="106"/>
  <c r="H41" i="105"/>
  <c r="H39" i="105"/>
  <c r="E36" i="105"/>
  <c r="E34" i="105"/>
  <c r="E32" i="105"/>
  <c r="H31" i="105"/>
  <c r="H16" i="105"/>
  <c r="H15" i="105"/>
  <c r="H13" i="105"/>
  <c r="H12" i="105"/>
  <c r="H11" i="105"/>
  <c r="H9" i="105"/>
  <c r="G8" i="105"/>
  <c r="H8" i="105" s="1"/>
  <c r="O1" i="105"/>
  <c r="H41" i="104"/>
  <c r="H39" i="104"/>
  <c r="E36" i="104"/>
  <c r="E34" i="104"/>
  <c r="E32" i="104"/>
  <c r="H31" i="104"/>
  <c r="H16" i="104"/>
  <c r="H15" i="104"/>
  <c r="H14" i="104"/>
  <c r="H13" i="104"/>
  <c r="H12" i="104"/>
  <c r="H11" i="104"/>
  <c r="H9" i="104"/>
  <c r="G8" i="104"/>
  <c r="H8" i="104" s="1"/>
  <c r="O1" i="104"/>
  <c r="H41" i="103"/>
  <c r="H39" i="103"/>
  <c r="E36" i="103"/>
  <c r="E34" i="103"/>
  <c r="E32" i="103"/>
  <c r="H31" i="103"/>
  <c r="H16" i="103"/>
  <c r="H15" i="103"/>
  <c r="H14" i="103"/>
  <c r="H13" i="103"/>
  <c r="H12" i="103"/>
  <c r="H11" i="103"/>
  <c r="H9" i="103"/>
  <c r="G8" i="103"/>
  <c r="H8" i="103" s="1"/>
  <c r="O1" i="103"/>
  <c r="H41" i="102"/>
  <c r="H39" i="102"/>
  <c r="H31" i="102"/>
  <c r="H21" i="102"/>
  <c r="H20" i="102"/>
  <c r="H18" i="102"/>
  <c r="G17" i="102"/>
  <c r="H17" i="102" s="1"/>
  <c r="H16" i="102"/>
  <c r="H15" i="102"/>
  <c r="H14" i="102"/>
  <c r="H13" i="102"/>
  <c r="H12" i="102"/>
  <c r="H11" i="102"/>
  <c r="O1" i="102"/>
  <c r="H41" i="101"/>
  <c r="H39" i="101"/>
  <c r="H31" i="101"/>
  <c r="H21" i="101"/>
  <c r="H20" i="101"/>
  <c r="H18" i="101"/>
  <c r="G17" i="101"/>
  <c r="H17" i="101" s="1"/>
  <c r="H16" i="101"/>
  <c r="H15" i="101"/>
  <c r="H13" i="101"/>
  <c r="H12" i="101"/>
  <c r="H11" i="101"/>
  <c r="H10" i="101"/>
  <c r="O1" i="101"/>
  <c r="H41" i="100"/>
  <c r="H39" i="100"/>
  <c r="H31" i="100"/>
  <c r="H21" i="100"/>
  <c r="H20" i="100"/>
  <c r="H18" i="100"/>
  <c r="G17" i="100"/>
  <c r="H17" i="100" s="1"/>
  <c r="H16" i="100"/>
  <c r="H15" i="100"/>
  <c r="H14" i="100"/>
  <c r="H13" i="100"/>
  <c r="H12" i="100"/>
  <c r="H11" i="100"/>
  <c r="O1" i="100"/>
  <c r="H41" i="99"/>
  <c r="H39" i="99"/>
  <c r="H31" i="99"/>
  <c r="G22" i="99"/>
  <c r="H22" i="99" s="1"/>
  <c r="H21" i="99"/>
  <c r="H20" i="99"/>
  <c r="H18" i="99"/>
  <c r="G17" i="99"/>
  <c r="H17" i="99" s="1"/>
  <c r="H16" i="99"/>
  <c r="H15" i="99"/>
  <c r="H14" i="99"/>
  <c r="H13" i="99"/>
  <c r="H12" i="99"/>
  <c r="H11" i="99"/>
  <c r="O1" i="99"/>
  <c r="H41" i="98"/>
  <c r="H39" i="98"/>
  <c r="E36" i="98"/>
  <c r="E34" i="98"/>
  <c r="E32" i="98"/>
  <c r="H31" i="98"/>
  <c r="H16" i="98"/>
  <c r="H15" i="98"/>
  <c r="H14" i="98"/>
  <c r="H13" i="98"/>
  <c r="H12" i="98"/>
  <c r="H11" i="98"/>
  <c r="H9" i="98"/>
  <c r="G8" i="98"/>
  <c r="H8" i="98" s="1"/>
  <c r="O1" i="98"/>
  <c r="H41" i="97"/>
  <c r="H39" i="97"/>
  <c r="E36" i="97"/>
  <c r="E34" i="97"/>
  <c r="E32" i="97"/>
  <c r="H31" i="97"/>
  <c r="H16" i="97"/>
  <c r="H15" i="97"/>
  <c r="H13" i="97"/>
  <c r="H12" i="97"/>
  <c r="H11" i="97"/>
  <c r="H9" i="97"/>
  <c r="G8" i="97"/>
  <c r="H8" i="97" s="1"/>
  <c r="O1" i="97"/>
  <c r="H41" i="96"/>
  <c r="H39" i="96"/>
  <c r="E36" i="96"/>
  <c r="E34" i="96"/>
  <c r="E32" i="96"/>
  <c r="H31" i="96"/>
  <c r="H16" i="96"/>
  <c r="H15" i="96"/>
  <c r="H14" i="96"/>
  <c r="H13" i="96"/>
  <c r="H12" i="96"/>
  <c r="H11" i="96"/>
  <c r="H9" i="96"/>
  <c r="G8" i="96"/>
  <c r="H8" i="96" s="1"/>
  <c r="O1" i="96"/>
  <c r="H41" i="95"/>
  <c r="H39" i="95"/>
  <c r="E36" i="95"/>
  <c r="E34" i="95"/>
  <c r="E32" i="95"/>
  <c r="H31" i="95"/>
  <c r="H16" i="95"/>
  <c r="H15" i="95"/>
  <c r="H14" i="95"/>
  <c r="H13" i="95"/>
  <c r="H12" i="95"/>
  <c r="H11" i="95"/>
  <c r="H9" i="95"/>
  <c r="G8" i="95"/>
  <c r="H8" i="95" s="1"/>
  <c r="O1" i="95"/>
  <c r="H41" i="94"/>
  <c r="H39" i="94"/>
  <c r="E36" i="94"/>
  <c r="E34" i="94"/>
  <c r="E32" i="94"/>
  <c r="H31" i="94"/>
  <c r="H16" i="94"/>
  <c r="H15" i="94"/>
  <c r="H14" i="94"/>
  <c r="H13" i="94"/>
  <c r="H12" i="94"/>
  <c r="H11" i="94"/>
  <c r="H9" i="94"/>
  <c r="G8" i="94"/>
  <c r="H8" i="94" s="1"/>
  <c r="O1" i="94"/>
  <c r="H41" i="93"/>
  <c r="H39" i="93"/>
  <c r="E36" i="93"/>
  <c r="E34" i="93"/>
  <c r="E32" i="93"/>
  <c r="H31" i="93"/>
  <c r="H16" i="93"/>
  <c r="H15" i="93"/>
  <c r="H13" i="93"/>
  <c r="H12" i="93"/>
  <c r="H11" i="93"/>
  <c r="H9" i="93"/>
  <c r="G8" i="93"/>
  <c r="H8" i="93" s="1"/>
  <c r="O1" i="93"/>
  <c r="H41" i="92"/>
  <c r="H39" i="92"/>
  <c r="E36" i="92"/>
  <c r="E34" i="92"/>
  <c r="E32" i="92"/>
  <c r="H31" i="92"/>
  <c r="H16" i="92"/>
  <c r="H15" i="92"/>
  <c r="H14" i="92"/>
  <c r="H13" i="92"/>
  <c r="H12" i="92"/>
  <c r="H11" i="92"/>
  <c r="H9" i="92"/>
  <c r="G8" i="92"/>
  <c r="H8" i="92" s="1"/>
  <c r="O1" i="92"/>
  <c r="H41" i="91"/>
  <c r="H39" i="91"/>
  <c r="E36" i="91"/>
  <c r="E34" i="91"/>
  <c r="E32" i="91"/>
  <c r="H31" i="91"/>
  <c r="H16" i="91"/>
  <c r="H15" i="91"/>
  <c r="H14" i="91"/>
  <c r="H13" i="91"/>
  <c r="H12" i="91"/>
  <c r="H11" i="91"/>
  <c r="H9" i="91"/>
  <c r="G8" i="91"/>
  <c r="H8" i="91" s="1"/>
  <c r="O1" i="91"/>
  <c r="H41" i="90"/>
  <c r="H39" i="90"/>
  <c r="H31" i="90"/>
  <c r="H21" i="90"/>
  <c r="H20" i="90"/>
  <c r="H18" i="90"/>
  <c r="G17" i="90"/>
  <c r="H17" i="90" s="1"/>
  <c r="H16" i="90"/>
  <c r="H15" i="90"/>
  <c r="H14" i="90"/>
  <c r="H13" i="90"/>
  <c r="H12" i="90"/>
  <c r="H11" i="90"/>
  <c r="O1" i="90"/>
  <c r="H41" i="89"/>
  <c r="H39" i="89"/>
  <c r="H31" i="89"/>
  <c r="H21" i="89"/>
  <c r="H20" i="89"/>
  <c r="H18" i="89"/>
  <c r="G17" i="89"/>
  <c r="H17" i="89" s="1"/>
  <c r="H16" i="89"/>
  <c r="H15" i="89"/>
  <c r="H13" i="89"/>
  <c r="H12" i="89"/>
  <c r="H11" i="89"/>
  <c r="H10" i="89"/>
  <c r="O1" i="89"/>
  <c r="H41" i="88"/>
  <c r="H39" i="88"/>
  <c r="H31" i="88"/>
  <c r="H21" i="88"/>
  <c r="H20" i="88"/>
  <c r="H18" i="88"/>
  <c r="G17" i="88"/>
  <c r="H17" i="88" s="1"/>
  <c r="H16" i="88"/>
  <c r="H15" i="88"/>
  <c r="H14" i="88"/>
  <c r="H13" i="88"/>
  <c r="H12" i="88"/>
  <c r="H11" i="88"/>
  <c r="O1" i="88"/>
  <c r="H41" i="87"/>
  <c r="H39" i="87"/>
  <c r="H31" i="87"/>
  <c r="G22" i="87"/>
  <c r="H22" i="87" s="1"/>
  <c r="H21" i="87"/>
  <c r="H20" i="87"/>
  <c r="H18" i="87"/>
  <c r="G17" i="87"/>
  <c r="H17" i="87" s="1"/>
  <c r="H16" i="87"/>
  <c r="H15" i="87"/>
  <c r="H14" i="87"/>
  <c r="H13" i="87"/>
  <c r="H12" i="87"/>
  <c r="H11" i="87"/>
  <c r="O1" i="87"/>
  <c r="H41" i="85"/>
  <c r="H39" i="85"/>
  <c r="E36" i="85"/>
  <c r="E34" i="85"/>
  <c r="E32" i="85"/>
  <c r="H31" i="85"/>
  <c r="H16" i="85"/>
  <c r="H15" i="85"/>
  <c r="H14" i="85"/>
  <c r="H13" i="85"/>
  <c r="H12" i="85"/>
  <c r="H11" i="85"/>
  <c r="H9" i="85"/>
  <c r="G8" i="85"/>
  <c r="H8" i="85" s="1"/>
  <c r="O1" i="85"/>
  <c r="H41" i="84"/>
  <c r="H39" i="84"/>
  <c r="E36" i="84"/>
  <c r="E34" i="84"/>
  <c r="E32" i="84"/>
  <c r="H31" i="84"/>
  <c r="H16" i="84"/>
  <c r="H15" i="84"/>
  <c r="H13" i="84"/>
  <c r="H12" i="84"/>
  <c r="H11" i="84"/>
  <c r="H9" i="84"/>
  <c r="G8" i="84"/>
  <c r="H8" i="84" s="1"/>
  <c r="O1" i="84"/>
  <c r="H41" i="83"/>
  <c r="H39" i="83"/>
  <c r="E36" i="83"/>
  <c r="E34" i="83"/>
  <c r="E32" i="83"/>
  <c r="H31" i="83"/>
  <c r="H16" i="83"/>
  <c r="H15" i="83"/>
  <c r="H14" i="83"/>
  <c r="H13" i="83"/>
  <c r="H12" i="83"/>
  <c r="H11" i="83"/>
  <c r="H9" i="83"/>
  <c r="G8" i="83"/>
  <c r="H8" i="83" s="1"/>
  <c r="O1" i="83"/>
  <c r="H41" i="82"/>
  <c r="H39" i="82"/>
  <c r="E36" i="82"/>
  <c r="E34" i="82"/>
  <c r="E32" i="82"/>
  <c r="H31" i="82"/>
  <c r="H16" i="82"/>
  <c r="H15" i="82"/>
  <c r="H14" i="82"/>
  <c r="H13" i="82"/>
  <c r="H12" i="82"/>
  <c r="H11" i="82"/>
  <c r="H9" i="82"/>
  <c r="G8" i="82"/>
  <c r="H8" i="82" s="1"/>
  <c r="O1" i="82"/>
  <c r="H41" i="81"/>
  <c r="H39" i="81"/>
  <c r="E36" i="81"/>
  <c r="E34" i="81"/>
  <c r="E32" i="81"/>
  <c r="H31" i="81"/>
  <c r="H16" i="81"/>
  <c r="H15" i="81"/>
  <c r="H14" i="81"/>
  <c r="H13" i="81"/>
  <c r="H12" i="81"/>
  <c r="H11" i="81"/>
  <c r="H9" i="81"/>
  <c r="G8" i="81"/>
  <c r="H8" i="81" s="1"/>
  <c r="O1" i="81"/>
  <c r="H41" i="80"/>
  <c r="H39" i="80"/>
  <c r="E36" i="80"/>
  <c r="E34" i="80"/>
  <c r="E32" i="80"/>
  <c r="H31" i="80"/>
  <c r="H16" i="80"/>
  <c r="H15" i="80"/>
  <c r="H13" i="80"/>
  <c r="H12" i="80"/>
  <c r="H11" i="80"/>
  <c r="H9" i="80"/>
  <c r="G8" i="80"/>
  <c r="H8" i="80" s="1"/>
  <c r="O1" i="80"/>
  <c r="H41" i="79"/>
  <c r="H39" i="79"/>
  <c r="E36" i="79"/>
  <c r="E34" i="79"/>
  <c r="E32" i="79"/>
  <c r="H31" i="79"/>
  <c r="H16" i="79"/>
  <c r="H15" i="79"/>
  <c r="H14" i="79"/>
  <c r="H13" i="79"/>
  <c r="H12" i="79"/>
  <c r="H11" i="79"/>
  <c r="H9" i="79"/>
  <c r="G8" i="79"/>
  <c r="H8" i="79" s="1"/>
  <c r="O1" i="79"/>
  <c r="H41" i="78"/>
  <c r="H39" i="78"/>
  <c r="E36" i="78"/>
  <c r="E34" i="78"/>
  <c r="E32" i="78"/>
  <c r="H31" i="78"/>
  <c r="H16" i="78"/>
  <c r="H15" i="78"/>
  <c r="H14" i="78"/>
  <c r="H13" i="78"/>
  <c r="H12" i="78"/>
  <c r="H11" i="78"/>
  <c r="H9" i="78"/>
  <c r="G8" i="78"/>
  <c r="H8" i="78" s="1"/>
  <c r="O1" i="78"/>
  <c r="H41" i="77"/>
  <c r="H39" i="77"/>
  <c r="H31" i="77"/>
  <c r="G22" i="77"/>
  <c r="H22" i="77" s="1"/>
  <c r="H21" i="77"/>
  <c r="H20" i="77"/>
  <c r="H18" i="77"/>
  <c r="G17" i="77"/>
  <c r="H17" i="77" s="1"/>
  <c r="H16" i="77"/>
  <c r="H15" i="77"/>
  <c r="H14" i="77"/>
  <c r="H13" i="77"/>
  <c r="H12" i="77"/>
  <c r="H11" i="77"/>
  <c r="O1" i="77"/>
  <c r="H41" i="76"/>
  <c r="H39" i="76"/>
  <c r="H31" i="76"/>
  <c r="H21" i="76"/>
  <c r="H20" i="76"/>
  <c r="H18" i="76"/>
  <c r="G17" i="76"/>
  <c r="H17" i="76" s="1"/>
  <c r="H16" i="76"/>
  <c r="H15" i="76"/>
  <c r="H13" i="76"/>
  <c r="H12" i="76"/>
  <c r="H11" i="76"/>
  <c r="O1" i="76"/>
  <c r="H41" i="75"/>
  <c r="H39" i="75"/>
  <c r="H31" i="75"/>
  <c r="H21" i="75"/>
  <c r="H20" i="75"/>
  <c r="H18" i="75"/>
  <c r="G17" i="75"/>
  <c r="H17" i="75" s="1"/>
  <c r="H16" i="75"/>
  <c r="H15" i="75"/>
  <c r="H14" i="75"/>
  <c r="H13" i="75"/>
  <c r="H12" i="75"/>
  <c r="H11" i="75"/>
  <c r="O1" i="75"/>
  <c r="H41" i="74"/>
  <c r="H39" i="74"/>
  <c r="H31" i="74"/>
  <c r="H21" i="74"/>
  <c r="H20" i="74"/>
  <c r="H18" i="74"/>
  <c r="G17" i="74"/>
  <c r="H17" i="74" s="1"/>
  <c r="H16" i="74"/>
  <c r="H15" i="74"/>
  <c r="H14" i="74"/>
  <c r="H13" i="74"/>
  <c r="H12" i="74"/>
  <c r="H11" i="74"/>
  <c r="O1" i="74"/>
  <c r="H41" i="73"/>
  <c r="H39" i="73"/>
  <c r="E36" i="73"/>
  <c r="E34" i="73"/>
  <c r="E32" i="73"/>
  <c r="H31" i="73"/>
  <c r="H16" i="73"/>
  <c r="H15" i="73"/>
  <c r="H14" i="73"/>
  <c r="H13" i="73"/>
  <c r="H12" i="73"/>
  <c r="H11" i="73"/>
  <c r="H9" i="73"/>
  <c r="G8" i="73"/>
  <c r="H8" i="73" s="1"/>
  <c r="O1" i="73"/>
  <c r="H41" i="72"/>
  <c r="H39" i="72"/>
  <c r="E36" i="72"/>
  <c r="E34" i="72"/>
  <c r="E32" i="72"/>
  <c r="H31" i="72"/>
  <c r="H16" i="72"/>
  <c r="H15" i="72"/>
  <c r="H13" i="72"/>
  <c r="H12" i="72"/>
  <c r="H11" i="72"/>
  <c r="H9" i="72"/>
  <c r="G8" i="72"/>
  <c r="H8" i="72" s="1"/>
  <c r="O1" i="72"/>
  <c r="H41" i="71"/>
  <c r="H39" i="71"/>
  <c r="E36" i="71"/>
  <c r="E34" i="71"/>
  <c r="E32" i="71"/>
  <c r="H31" i="71"/>
  <c r="H16" i="71"/>
  <c r="H15" i="71"/>
  <c r="H14" i="71"/>
  <c r="H13" i="71"/>
  <c r="H12" i="71"/>
  <c r="H11" i="71"/>
  <c r="H9" i="71"/>
  <c r="G8" i="71"/>
  <c r="H8" i="71" s="1"/>
  <c r="O1" i="71"/>
  <c r="H41" i="70"/>
  <c r="H39" i="70"/>
  <c r="E36" i="70"/>
  <c r="E34" i="70"/>
  <c r="E32" i="70"/>
  <c r="H31" i="70"/>
  <c r="H16" i="70"/>
  <c r="H15" i="70"/>
  <c r="H14" i="70"/>
  <c r="H13" i="70"/>
  <c r="H12" i="70"/>
  <c r="H11" i="70"/>
  <c r="H9" i="70"/>
  <c r="G8" i="70"/>
  <c r="H8" i="70" s="1"/>
  <c r="O1" i="70"/>
  <c r="H41" i="69"/>
  <c r="H39" i="69"/>
  <c r="E36" i="69"/>
  <c r="E34" i="69"/>
  <c r="E32" i="69"/>
  <c r="H31" i="69"/>
  <c r="H16" i="69"/>
  <c r="H15" i="69"/>
  <c r="H14" i="69"/>
  <c r="H13" i="69"/>
  <c r="H12" i="69"/>
  <c r="H11" i="69"/>
  <c r="H9" i="69"/>
  <c r="G8" i="69"/>
  <c r="H8" i="69" s="1"/>
  <c r="O1" i="69"/>
  <c r="H41" i="68"/>
  <c r="H39" i="68"/>
  <c r="E36" i="68"/>
  <c r="E34" i="68"/>
  <c r="E32" i="68"/>
  <c r="H31" i="68"/>
  <c r="H16" i="68"/>
  <c r="H15" i="68"/>
  <c r="H13" i="68"/>
  <c r="H12" i="68"/>
  <c r="H11" i="68"/>
  <c r="H9" i="68"/>
  <c r="G8" i="68"/>
  <c r="H8" i="68" s="1"/>
  <c r="O1" i="68"/>
  <c r="H41" i="67"/>
  <c r="H39" i="67"/>
  <c r="E36" i="67"/>
  <c r="E34" i="67"/>
  <c r="E32" i="67"/>
  <c r="H31" i="67"/>
  <c r="H16" i="67"/>
  <c r="H15" i="67"/>
  <c r="H14" i="67"/>
  <c r="H13" i="67"/>
  <c r="H12" i="67"/>
  <c r="H11" i="67"/>
  <c r="H9" i="67"/>
  <c r="G8" i="67"/>
  <c r="H8" i="67" s="1"/>
  <c r="O1" i="67"/>
  <c r="H41" i="66"/>
  <c r="H39" i="66"/>
  <c r="E36" i="66"/>
  <c r="E34" i="66"/>
  <c r="E32" i="66"/>
  <c r="H31" i="66"/>
  <c r="H16" i="66"/>
  <c r="H15" i="66"/>
  <c r="H14" i="66"/>
  <c r="H13" i="66"/>
  <c r="H12" i="66"/>
  <c r="H11" i="66"/>
  <c r="H9" i="66"/>
  <c r="G8" i="66"/>
  <c r="H8" i="66" s="1"/>
  <c r="O1" i="66"/>
  <c r="H41" i="65"/>
  <c r="H39" i="65"/>
  <c r="H31" i="65"/>
  <c r="H21" i="65"/>
  <c r="H20" i="65"/>
  <c r="H18" i="65"/>
  <c r="G17" i="65"/>
  <c r="H17" i="65" s="1"/>
  <c r="H16" i="65"/>
  <c r="H15" i="65"/>
  <c r="H14" i="65"/>
  <c r="H13" i="65"/>
  <c r="H12" i="65"/>
  <c r="H11" i="65"/>
  <c r="O1" i="65"/>
  <c r="H41" i="64"/>
  <c r="H39" i="64"/>
  <c r="H31" i="64"/>
  <c r="H21" i="64"/>
  <c r="H20" i="64"/>
  <c r="H18" i="64"/>
  <c r="G17" i="64"/>
  <c r="H17" i="64" s="1"/>
  <c r="H16" i="64"/>
  <c r="H15" i="64"/>
  <c r="H13" i="64"/>
  <c r="H12" i="64"/>
  <c r="H11" i="64"/>
  <c r="O1" i="64"/>
  <c r="H41" i="63"/>
  <c r="H39" i="63"/>
  <c r="H31" i="63"/>
  <c r="H21" i="63"/>
  <c r="H20" i="63"/>
  <c r="H18" i="63"/>
  <c r="G17" i="63"/>
  <c r="H17" i="63" s="1"/>
  <c r="H16" i="63"/>
  <c r="H15" i="63"/>
  <c r="H14" i="63"/>
  <c r="H13" i="63"/>
  <c r="H12" i="63"/>
  <c r="H11" i="63"/>
  <c r="O1" i="63"/>
  <c r="H41" i="62"/>
  <c r="H39" i="62"/>
  <c r="H31" i="62"/>
  <c r="G22" i="62"/>
  <c r="H22" i="62" s="1"/>
  <c r="H21" i="62"/>
  <c r="H20" i="62"/>
  <c r="H18" i="62"/>
  <c r="G17" i="62"/>
  <c r="H17" i="62" s="1"/>
  <c r="H16" i="62"/>
  <c r="H15" i="62"/>
  <c r="H14" i="62"/>
  <c r="H13" i="62"/>
  <c r="H12" i="62"/>
  <c r="H11" i="62"/>
  <c r="O1" i="62"/>
  <c r="D6" i="49"/>
  <c r="E6" i="49"/>
  <c r="C8" i="49"/>
  <c r="C6" i="49"/>
  <c r="H10" i="93" l="1"/>
  <c r="H36" i="111"/>
  <c r="H38" i="111" s="1"/>
  <c r="H40" i="111" s="1"/>
  <c r="H28" i="74"/>
  <c r="H28" i="84"/>
  <c r="H28" i="80"/>
  <c r="H28" i="90"/>
  <c r="H28" i="92"/>
  <c r="H28" i="98"/>
  <c r="H28" i="103"/>
  <c r="H28" i="96"/>
  <c r="H28" i="107"/>
  <c r="H28" i="68"/>
  <c r="H28" i="79"/>
  <c r="H28" i="85"/>
  <c r="H28" i="91"/>
  <c r="H28" i="109"/>
  <c r="H28" i="101"/>
  <c r="H28" i="70"/>
  <c r="H28" i="81"/>
  <c r="H28" i="99"/>
  <c r="H28" i="105"/>
  <c r="H28" i="63"/>
  <c r="H28" i="69"/>
  <c r="H28" i="87"/>
  <c r="H28" i="93"/>
  <c r="H28" i="102"/>
  <c r="H28" i="104"/>
  <c r="H28" i="110"/>
  <c r="H28" i="62"/>
  <c r="H28" i="65"/>
  <c r="H28" i="67"/>
  <c r="H28" i="73"/>
  <c r="H28" i="76"/>
  <c r="H28" i="78"/>
  <c r="H28" i="89"/>
  <c r="H28" i="97"/>
  <c r="H28" i="108"/>
  <c r="H28" i="100"/>
  <c r="H28" i="64"/>
  <c r="H28" i="72"/>
  <c r="H28" i="83"/>
  <c r="H28" i="88"/>
  <c r="H28" i="95"/>
  <c r="H10" i="104"/>
  <c r="H28" i="106"/>
  <c r="H28" i="66"/>
  <c r="H28" i="71"/>
  <c r="H28" i="75"/>
  <c r="H28" i="82"/>
  <c r="H28" i="94"/>
  <c r="H10" i="98"/>
  <c r="H28" i="77"/>
  <c r="H10" i="106"/>
  <c r="H10" i="105"/>
  <c r="H10" i="107"/>
  <c r="H10" i="99"/>
  <c r="H10" i="109"/>
  <c r="H10" i="108"/>
  <c r="H10" i="110"/>
  <c r="H10" i="102"/>
  <c r="H10" i="100"/>
  <c r="H10" i="103"/>
  <c r="H10" i="92"/>
  <c r="H30" i="93"/>
  <c r="H10" i="87"/>
  <c r="H10" i="90"/>
  <c r="H10" i="96"/>
  <c r="H10" i="94"/>
  <c r="H10" i="97"/>
  <c r="H10" i="88"/>
  <c r="H10" i="91"/>
  <c r="H10" i="95"/>
  <c r="H10" i="81"/>
  <c r="H10" i="79"/>
  <c r="H10" i="85"/>
  <c r="H10" i="83"/>
  <c r="H10" i="80"/>
  <c r="H10" i="82"/>
  <c r="H10" i="84"/>
  <c r="H10" i="78"/>
  <c r="H10" i="62"/>
  <c r="H10" i="64"/>
  <c r="H10" i="68"/>
  <c r="H10" i="65"/>
  <c r="H10" i="72"/>
  <c r="H10" i="67"/>
  <c r="H10" i="69"/>
  <c r="H10" i="73"/>
  <c r="H10" i="71"/>
  <c r="H10" i="63"/>
  <c r="H10" i="66"/>
  <c r="H10" i="70"/>
  <c r="H41" i="61"/>
  <c r="H39" i="61"/>
  <c r="E36" i="61"/>
  <c r="E34" i="61"/>
  <c r="E32" i="61"/>
  <c r="H31" i="61"/>
  <c r="H16" i="61"/>
  <c r="H15" i="61"/>
  <c r="H14" i="61"/>
  <c r="H13" i="61"/>
  <c r="H12" i="61"/>
  <c r="H11" i="61"/>
  <c r="H9" i="61"/>
  <c r="G8" i="61"/>
  <c r="H8" i="61" s="1"/>
  <c r="O1" i="61"/>
  <c r="H41" i="60"/>
  <c r="H39" i="60"/>
  <c r="E36" i="60"/>
  <c r="E34" i="60"/>
  <c r="E32" i="60"/>
  <c r="H31" i="60"/>
  <c r="H16" i="60"/>
  <c r="H15" i="60"/>
  <c r="H13" i="60"/>
  <c r="H12" i="60"/>
  <c r="H11" i="60"/>
  <c r="H9" i="60"/>
  <c r="G8" i="60"/>
  <c r="H8" i="60" s="1"/>
  <c r="O1" i="60"/>
  <c r="H41" i="59"/>
  <c r="H39" i="59"/>
  <c r="E36" i="59"/>
  <c r="E34" i="59"/>
  <c r="E32" i="59"/>
  <c r="H31" i="59"/>
  <c r="H16" i="59"/>
  <c r="H15" i="59"/>
  <c r="H14" i="59"/>
  <c r="H13" i="59"/>
  <c r="H12" i="59"/>
  <c r="H11" i="59"/>
  <c r="H9" i="59"/>
  <c r="G8" i="59"/>
  <c r="H8" i="59" s="1"/>
  <c r="O1" i="59"/>
  <c r="H41" i="58"/>
  <c r="H39" i="58"/>
  <c r="E36" i="58"/>
  <c r="E34" i="58"/>
  <c r="E32" i="58"/>
  <c r="H31" i="58"/>
  <c r="H16" i="58"/>
  <c r="H15" i="58"/>
  <c r="H14" i="58"/>
  <c r="H13" i="58"/>
  <c r="H12" i="58"/>
  <c r="H11" i="58"/>
  <c r="H9" i="58"/>
  <c r="G8" i="58"/>
  <c r="H8" i="58" s="1"/>
  <c r="O1" i="58"/>
  <c r="H41" i="57"/>
  <c r="H39" i="57"/>
  <c r="E36" i="57"/>
  <c r="E34" i="57"/>
  <c r="E32" i="57"/>
  <c r="H31" i="57"/>
  <c r="H16" i="57"/>
  <c r="H15" i="57"/>
  <c r="H14" i="57"/>
  <c r="H13" i="57"/>
  <c r="H12" i="57"/>
  <c r="H11" i="57"/>
  <c r="H9" i="57"/>
  <c r="G8" i="57"/>
  <c r="H8" i="57" s="1"/>
  <c r="O1" i="57"/>
  <c r="H41" i="56"/>
  <c r="H39" i="56"/>
  <c r="E36" i="56"/>
  <c r="E34" i="56"/>
  <c r="E32" i="56"/>
  <c r="H31" i="56"/>
  <c r="H16" i="56"/>
  <c r="H15" i="56"/>
  <c r="H13" i="56"/>
  <c r="H12" i="56"/>
  <c r="H11" i="56"/>
  <c r="H9" i="56"/>
  <c r="G8" i="56"/>
  <c r="H8" i="56" s="1"/>
  <c r="O1" i="56"/>
  <c r="H41" i="55"/>
  <c r="H39" i="55"/>
  <c r="E36" i="55"/>
  <c r="E34" i="55"/>
  <c r="E32" i="55"/>
  <c r="H31" i="55"/>
  <c r="H16" i="55"/>
  <c r="H15" i="55"/>
  <c r="H14" i="55"/>
  <c r="H13" i="55"/>
  <c r="H12" i="55"/>
  <c r="H11" i="55"/>
  <c r="H9" i="55"/>
  <c r="G8" i="55"/>
  <c r="H8" i="55" s="1"/>
  <c r="O1" i="55"/>
  <c r="H41" i="54"/>
  <c r="H39" i="54"/>
  <c r="E36" i="54"/>
  <c r="E34" i="54"/>
  <c r="E32" i="54"/>
  <c r="H31" i="54"/>
  <c r="G22" i="54"/>
  <c r="H22" i="54" s="1"/>
  <c r="H21" i="54"/>
  <c r="H20" i="54"/>
  <c r="H18" i="54"/>
  <c r="G17" i="54"/>
  <c r="H17" i="54" s="1"/>
  <c r="H16" i="54"/>
  <c r="H15" i="54"/>
  <c r="H14" i="54"/>
  <c r="H13" i="54"/>
  <c r="H12" i="54"/>
  <c r="H11" i="54"/>
  <c r="H9" i="54"/>
  <c r="G8" i="54"/>
  <c r="H8" i="54" s="1"/>
  <c r="O1" i="54"/>
  <c r="H41" i="53"/>
  <c r="H39" i="53"/>
  <c r="H31" i="53"/>
  <c r="H21" i="53"/>
  <c r="H20" i="53"/>
  <c r="H18" i="53"/>
  <c r="G17" i="53"/>
  <c r="H17" i="53" s="1"/>
  <c r="H16" i="53"/>
  <c r="H15" i="53"/>
  <c r="H14" i="53"/>
  <c r="H13" i="53"/>
  <c r="H12" i="53"/>
  <c r="H11" i="53"/>
  <c r="O1" i="53"/>
  <c r="H41" i="52"/>
  <c r="H39" i="52"/>
  <c r="H31" i="52"/>
  <c r="H21" i="52"/>
  <c r="H20" i="52"/>
  <c r="H18" i="52"/>
  <c r="G17" i="52"/>
  <c r="H17" i="52" s="1"/>
  <c r="H16" i="52"/>
  <c r="H15" i="52"/>
  <c r="H13" i="52"/>
  <c r="H12" i="52"/>
  <c r="H11" i="52"/>
  <c r="H10" i="52"/>
  <c r="O1" i="52"/>
  <c r="H41" i="51"/>
  <c r="H39" i="51"/>
  <c r="H31" i="51"/>
  <c r="H21" i="51"/>
  <c r="H20" i="51"/>
  <c r="H18" i="51"/>
  <c r="G17" i="51"/>
  <c r="H17" i="51" s="1"/>
  <c r="H16" i="51"/>
  <c r="H15" i="51"/>
  <c r="H14" i="51"/>
  <c r="H13" i="51"/>
  <c r="H12" i="51"/>
  <c r="H11" i="51"/>
  <c r="O1" i="51"/>
  <c r="H41" i="50"/>
  <c r="H39" i="50"/>
  <c r="H31" i="50"/>
  <c r="G22" i="50"/>
  <c r="H22" i="50" s="1"/>
  <c r="H21" i="50"/>
  <c r="H20" i="50"/>
  <c r="H18" i="50"/>
  <c r="G17" i="50"/>
  <c r="H17" i="50" s="1"/>
  <c r="H16" i="50"/>
  <c r="H15" i="50"/>
  <c r="H14" i="50"/>
  <c r="H13" i="50"/>
  <c r="H12" i="50"/>
  <c r="H11" i="50"/>
  <c r="O1" i="50"/>
  <c r="E36" i="29"/>
  <c r="E34" i="29"/>
  <c r="E32" i="29"/>
  <c r="H31" i="29"/>
  <c r="H16" i="29"/>
  <c r="H15" i="29"/>
  <c r="H14" i="29"/>
  <c r="H16" i="26"/>
  <c r="H15" i="26"/>
  <c r="H14" i="26"/>
  <c r="H16" i="7"/>
  <c r="H15" i="7"/>
  <c r="H14" i="7"/>
  <c r="G22" i="5"/>
  <c r="H22" i="5" s="1"/>
  <c r="H21" i="5"/>
  <c r="H20" i="5"/>
  <c r="H18" i="5"/>
  <c r="G17" i="5"/>
  <c r="H17" i="5" s="1"/>
  <c r="H16" i="5"/>
  <c r="H15" i="5"/>
  <c r="H14" i="5"/>
  <c r="H10" i="56" l="1"/>
  <c r="H30" i="89"/>
  <c r="H30" i="101"/>
  <c r="H30" i="77"/>
  <c r="H30" i="98"/>
  <c r="H30" i="104"/>
  <c r="H30" i="90"/>
  <c r="H32" i="90" s="1"/>
  <c r="H28" i="56"/>
  <c r="H28" i="58"/>
  <c r="H28" i="52"/>
  <c r="H28" i="57"/>
  <c r="H10" i="61"/>
  <c r="H28" i="61"/>
  <c r="H30" i="108"/>
  <c r="H28" i="51"/>
  <c r="H28" i="55"/>
  <c r="H28" i="50"/>
  <c r="H28" i="60"/>
  <c r="H30" i="106"/>
  <c r="H28" i="53"/>
  <c r="H28" i="59"/>
  <c r="H28" i="54"/>
  <c r="H32" i="101"/>
  <c r="H30" i="63"/>
  <c r="H30" i="102"/>
  <c r="H30" i="69"/>
  <c r="H30" i="107"/>
  <c r="H30" i="96"/>
  <c r="H30" i="109"/>
  <c r="H30" i="95"/>
  <c r="H30" i="97"/>
  <c r="H30" i="80"/>
  <c r="H30" i="94"/>
  <c r="H30" i="92"/>
  <c r="H30" i="73"/>
  <c r="H30" i="105"/>
  <c r="H30" i="99"/>
  <c r="H30" i="81"/>
  <c r="H30" i="100"/>
  <c r="H30" i="64"/>
  <c r="H30" i="110"/>
  <c r="H30" i="62"/>
  <c r="H30" i="88"/>
  <c r="H30" i="87"/>
  <c r="H30" i="103"/>
  <c r="H30" i="91"/>
  <c r="H32" i="98"/>
  <c r="H30" i="79"/>
  <c r="H30" i="68"/>
  <c r="H30" i="65"/>
  <c r="H30" i="78"/>
  <c r="H32" i="93"/>
  <c r="H30" i="83"/>
  <c r="H30" i="84"/>
  <c r="H30" i="76"/>
  <c r="H30" i="75"/>
  <c r="H30" i="66"/>
  <c r="H30" i="67"/>
  <c r="H30" i="85"/>
  <c r="H30" i="82"/>
  <c r="H32" i="77"/>
  <c r="H30" i="74"/>
  <c r="H30" i="72"/>
  <c r="H30" i="70"/>
  <c r="H30" i="71"/>
  <c r="H10" i="55"/>
  <c r="H10" i="58"/>
  <c r="H10" i="57"/>
  <c r="H10" i="59"/>
  <c r="H10" i="50"/>
  <c r="H10" i="53"/>
  <c r="H10" i="60"/>
  <c r="H10" i="54"/>
  <c r="H10" i="51"/>
  <c r="G22" i="6"/>
  <c r="H22" i="6" s="1"/>
  <c r="H21" i="6"/>
  <c r="H20" i="6"/>
  <c r="H18" i="6"/>
  <c r="G17" i="6"/>
  <c r="H17" i="6" s="1"/>
  <c r="H16" i="6"/>
  <c r="H15" i="6"/>
  <c r="H14" i="6"/>
  <c r="H21" i="4"/>
  <c r="H20" i="4"/>
  <c r="H18" i="4"/>
  <c r="G17" i="4"/>
  <c r="H17" i="4" s="1"/>
  <c r="H16" i="4"/>
  <c r="H21" i="9"/>
  <c r="H20" i="9"/>
  <c r="H18" i="9"/>
  <c r="G17" i="9"/>
  <c r="H17" i="9" s="1"/>
  <c r="H16" i="9"/>
  <c r="H21" i="3"/>
  <c r="H20" i="3"/>
  <c r="H18" i="3"/>
  <c r="G17" i="3"/>
  <c r="H17" i="3" s="1"/>
  <c r="H16" i="3"/>
  <c r="H21" i="2"/>
  <c r="G17" i="2"/>
  <c r="H41" i="2"/>
  <c r="H39" i="2"/>
  <c r="H41" i="3"/>
  <c r="H39" i="3"/>
  <c r="H41" i="9"/>
  <c r="H39" i="9"/>
  <c r="H41" i="4"/>
  <c r="H39" i="4"/>
  <c r="H41" i="5"/>
  <c r="H39" i="5"/>
  <c r="H41" i="27"/>
  <c r="H39" i="27"/>
  <c r="H41" i="26"/>
  <c r="H39" i="26"/>
  <c r="H41" i="6"/>
  <c r="H39" i="6"/>
  <c r="H41" i="7"/>
  <c r="H39" i="7"/>
  <c r="H41" i="28"/>
  <c r="H39" i="28"/>
  <c r="H41" i="29"/>
  <c r="H39" i="29"/>
  <c r="H33" i="8"/>
  <c r="H31" i="8"/>
  <c r="H33" i="11"/>
  <c r="H31" i="11"/>
  <c r="H33" i="16"/>
  <c r="H31" i="16"/>
  <c r="H33" i="17"/>
  <c r="H31" i="17"/>
  <c r="H33" i="12"/>
  <c r="H31" i="12"/>
  <c r="H33" i="14"/>
  <c r="H31" i="14"/>
  <c r="H33" i="30"/>
  <c r="H31" i="30"/>
  <c r="H33" i="31"/>
  <c r="H31" i="31"/>
  <c r="H33" i="13"/>
  <c r="H31" i="13"/>
  <c r="H33" i="15"/>
  <c r="H31" i="15"/>
  <c r="E36" i="2"/>
  <c r="E36" i="4"/>
  <c r="E34" i="4"/>
  <c r="E32" i="4"/>
  <c r="E36" i="5"/>
  <c r="E34" i="5"/>
  <c r="E32" i="5"/>
  <c r="E36" i="27"/>
  <c r="E34" i="27"/>
  <c r="E32" i="27"/>
  <c r="E36" i="26"/>
  <c r="E34" i="26"/>
  <c r="E32" i="26"/>
  <c r="E36" i="6"/>
  <c r="E34" i="6"/>
  <c r="E32" i="6"/>
  <c r="E36" i="7"/>
  <c r="E34" i="7"/>
  <c r="E32" i="7"/>
  <c r="E36" i="28"/>
  <c r="E34" i="28"/>
  <c r="E32" i="28"/>
  <c r="E29" i="8"/>
  <c r="E27" i="8"/>
  <c r="E25" i="8"/>
  <c r="E29" i="11"/>
  <c r="E27" i="11"/>
  <c r="E25" i="11"/>
  <c r="E29" i="16"/>
  <c r="E27" i="16"/>
  <c r="E25" i="16"/>
  <c r="E29" i="17"/>
  <c r="E27" i="17"/>
  <c r="E25" i="17"/>
  <c r="E29" i="12"/>
  <c r="E27" i="12"/>
  <c r="E25" i="12"/>
  <c r="E29" i="14"/>
  <c r="E27" i="14"/>
  <c r="E25" i="14"/>
  <c r="E29" i="30"/>
  <c r="E27" i="30"/>
  <c r="E25" i="30"/>
  <c r="E29" i="31"/>
  <c r="E27" i="31"/>
  <c r="E25" i="31"/>
  <c r="E29" i="13"/>
  <c r="E27" i="13"/>
  <c r="E25" i="13"/>
  <c r="E29" i="15"/>
  <c r="E27" i="15"/>
  <c r="E25" i="15"/>
  <c r="G20" i="8"/>
  <c r="G20" i="11"/>
  <c r="G20" i="16"/>
  <c r="G20" i="17"/>
  <c r="G20" i="12"/>
  <c r="G20" i="14"/>
  <c r="G20" i="30"/>
  <c r="G20" i="31"/>
  <c r="G20" i="13"/>
  <c r="G20" i="15"/>
  <c r="G22" i="4"/>
  <c r="G22" i="3"/>
  <c r="G22" i="2"/>
  <c r="G8" i="4"/>
  <c r="G8" i="5"/>
  <c r="G8" i="27"/>
  <c r="G8" i="26"/>
  <c r="G8" i="6"/>
  <c r="G8" i="7"/>
  <c r="G8" i="28"/>
  <c r="G8" i="29"/>
  <c r="G8" i="8"/>
  <c r="G8" i="11"/>
  <c r="G8" i="16"/>
  <c r="G8" i="17"/>
  <c r="G8" i="12"/>
  <c r="G8" i="14"/>
  <c r="G8" i="30"/>
  <c r="G8" i="31"/>
  <c r="G8" i="13"/>
  <c r="G8" i="15"/>
  <c r="O1" i="2"/>
  <c r="O1" i="3"/>
  <c r="O1" i="9"/>
  <c r="O1" i="4"/>
  <c r="O1" i="5"/>
  <c r="O1" i="27"/>
  <c r="O1" i="26"/>
  <c r="O1" i="6"/>
  <c r="O1" i="7"/>
  <c r="O1" i="28"/>
  <c r="O1" i="29"/>
  <c r="O1" i="8"/>
  <c r="O1" i="11"/>
  <c r="O1" i="16"/>
  <c r="O1" i="17"/>
  <c r="O1" i="12"/>
  <c r="O1" i="14"/>
  <c r="O1" i="30"/>
  <c r="O1" i="31"/>
  <c r="O1" i="13"/>
  <c r="O1" i="15"/>
  <c r="D5" i="49"/>
  <c r="C5" i="49"/>
  <c r="E5" i="49"/>
  <c r="E4" i="49"/>
  <c r="J8" i="49"/>
  <c r="H4" i="49"/>
  <c r="J9" i="49"/>
  <c r="H32" i="108" l="1"/>
  <c r="H34" i="108" s="1"/>
  <c r="H32" i="106"/>
  <c r="H32" i="104"/>
  <c r="H32" i="89"/>
  <c r="H34" i="89" s="1"/>
  <c r="H32" i="63"/>
  <c r="H34" i="106"/>
  <c r="H36" i="106" s="1"/>
  <c r="H30" i="56"/>
  <c r="H34" i="93"/>
  <c r="H34" i="101"/>
  <c r="H34" i="98"/>
  <c r="H30" i="52"/>
  <c r="H34" i="77"/>
  <c r="H36" i="77" s="1"/>
  <c r="H34" i="63"/>
  <c r="H34" i="90"/>
  <c r="H36" i="90" s="1"/>
  <c r="H30" i="61"/>
  <c r="H32" i="66"/>
  <c r="H32" i="80"/>
  <c r="H32" i="83"/>
  <c r="H32" i="105"/>
  <c r="H32" i="96"/>
  <c r="H32" i="64"/>
  <c r="H32" i="65"/>
  <c r="H32" i="69"/>
  <c r="H32" i="91"/>
  <c r="H32" i="73"/>
  <c r="H32" i="107"/>
  <c r="H32" i="78"/>
  <c r="H32" i="92"/>
  <c r="H32" i="67"/>
  <c r="H32" i="94"/>
  <c r="H32" i="68"/>
  <c r="H32" i="81"/>
  <c r="H32" i="97"/>
  <c r="H32" i="87"/>
  <c r="H32" i="70"/>
  <c r="H32" i="52"/>
  <c r="H32" i="72"/>
  <c r="H32" i="76"/>
  <c r="H32" i="79"/>
  <c r="H32" i="88"/>
  <c r="H32" i="102"/>
  <c r="H32" i="95"/>
  <c r="H32" i="84"/>
  <c r="H32" i="62"/>
  <c r="H32" i="99"/>
  <c r="H32" i="109"/>
  <c r="H30" i="59"/>
  <c r="H32" i="100"/>
  <c r="H34" i="104"/>
  <c r="H32" i="103"/>
  <c r="H32" i="110"/>
  <c r="H36" i="98"/>
  <c r="H36" i="93"/>
  <c r="H32" i="85"/>
  <c r="H30" i="50"/>
  <c r="H32" i="74"/>
  <c r="H30" i="55"/>
  <c r="H32" i="75"/>
  <c r="H32" i="82"/>
  <c r="H36" i="63"/>
  <c r="H30" i="54"/>
  <c r="H30" i="51"/>
  <c r="H30" i="53"/>
  <c r="H32" i="71"/>
  <c r="H30" i="60"/>
  <c r="H30" i="57"/>
  <c r="H32" i="56"/>
  <c r="H32" i="61"/>
  <c r="H30" i="58"/>
  <c r="D4" i="49"/>
  <c r="C4" i="49"/>
  <c r="H34" i="66" l="1"/>
  <c r="H36" i="89"/>
  <c r="H34" i="91"/>
  <c r="H38" i="91" s="1"/>
  <c r="H40" i="91" s="1"/>
  <c r="H36" i="108"/>
  <c r="H38" i="108" s="1"/>
  <c r="H40" i="108" s="1"/>
  <c r="H34" i="75"/>
  <c r="H36" i="75" s="1"/>
  <c r="H38" i="106"/>
  <c r="H40" i="106" s="1"/>
  <c r="H34" i="79"/>
  <c r="H34" i="70"/>
  <c r="H34" i="68"/>
  <c r="H34" i="78"/>
  <c r="H34" i="69"/>
  <c r="H36" i="69" s="1"/>
  <c r="H34" i="105"/>
  <c r="H34" i="56"/>
  <c r="H36" i="56" s="1"/>
  <c r="H34" i="82"/>
  <c r="H38" i="89"/>
  <c r="H40" i="89" s="1"/>
  <c r="H34" i="62"/>
  <c r="H34" i="81"/>
  <c r="H34" i="96"/>
  <c r="H36" i="96" s="1"/>
  <c r="H38" i="98"/>
  <c r="H40" i="98" s="1"/>
  <c r="H36" i="104"/>
  <c r="H38" i="104" s="1"/>
  <c r="H40" i="104" s="1"/>
  <c r="H34" i="109"/>
  <c r="H36" i="109" s="1"/>
  <c r="H34" i="95"/>
  <c r="H34" i="76"/>
  <c r="H34" i="87"/>
  <c r="H36" i="87" s="1"/>
  <c r="H34" i="94"/>
  <c r="H34" i="65"/>
  <c r="H36" i="65" s="1"/>
  <c r="H34" i="110"/>
  <c r="H36" i="110" s="1"/>
  <c r="H34" i="88"/>
  <c r="H34" i="92"/>
  <c r="H34" i="74"/>
  <c r="H38" i="93"/>
  <c r="H40" i="93" s="1"/>
  <c r="H38" i="77"/>
  <c r="H40" i="77" s="1"/>
  <c r="H34" i="99"/>
  <c r="H34" i="102"/>
  <c r="H34" i="72"/>
  <c r="H36" i="72" s="1"/>
  <c r="H34" i="97"/>
  <c r="H34" i="67"/>
  <c r="H34" i="73"/>
  <c r="H34" i="64"/>
  <c r="H34" i="80"/>
  <c r="H36" i="101"/>
  <c r="H36" i="73"/>
  <c r="H36" i="91"/>
  <c r="H36" i="78"/>
  <c r="H36" i="81"/>
  <c r="H34" i="83"/>
  <c r="H36" i="68"/>
  <c r="H36" i="105"/>
  <c r="H32" i="60"/>
  <c r="H34" i="52"/>
  <c r="H32" i="54"/>
  <c r="H34" i="84"/>
  <c r="H38" i="90"/>
  <c r="H40" i="90" s="1"/>
  <c r="H34" i="107"/>
  <c r="H32" i="59"/>
  <c r="H36" i="70"/>
  <c r="H32" i="55"/>
  <c r="H32" i="50"/>
  <c r="H32" i="53"/>
  <c r="H38" i="63"/>
  <c r="H40" i="63" s="1"/>
  <c r="H36" i="80"/>
  <c r="H36" i="88"/>
  <c r="H32" i="51"/>
  <c r="H36" i="79"/>
  <c r="H34" i="85"/>
  <c r="H34" i="100"/>
  <c r="H34" i="103"/>
  <c r="H36" i="82"/>
  <c r="H36" i="74"/>
  <c r="H34" i="71"/>
  <c r="H34" i="61"/>
  <c r="H32" i="57"/>
  <c r="H32" i="58"/>
  <c r="K8" i="49"/>
  <c r="K9" i="49"/>
  <c r="H36" i="66" l="1"/>
  <c r="H38" i="66" s="1"/>
  <c r="H40" i="66" s="1"/>
  <c r="H36" i="102"/>
  <c r="H38" i="96"/>
  <c r="H40" i="96" s="1"/>
  <c r="H38" i="65"/>
  <c r="H40" i="65" s="1"/>
  <c r="H36" i="71"/>
  <c r="H34" i="55"/>
  <c r="H36" i="52"/>
  <c r="H38" i="52" s="1"/>
  <c r="H40" i="52" s="1"/>
  <c r="H38" i="109"/>
  <c r="H40" i="109" s="1"/>
  <c r="H38" i="68"/>
  <c r="H40" i="68" s="1"/>
  <c r="H38" i="81"/>
  <c r="H40" i="81" s="1"/>
  <c r="H36" i="97"/>
  <c r="H38" i="97" s="1"/>
  <c r="H40" i="97" s="1"/>
  <c r="H36" i="94"/>
  <c r="H38" i="110"/>
  <c r="H40" i="110" s="1"/>
  <c r="H38" i="88"/>
  <c r="H40" i="88" s="1"/>
  <c r="H38" i="74"/>
  <c r="H40" i="74" s="1"/>
  <c r="H36" i="103"/>
  <c r="H34" i="51"/>
  <c r="H38" i="80"/>
  <c r="H40" i="80" s="1"/>
  <c r="H34" i="53"/>
  <c r="H36" i="84"/>
  <c r="H38" i="69"/>
  <c r="H40" i="69" s="1"/>
  <c r="H38" i="72"/>
  <c r="H40" i="72" s="1"/>
  <c r="H38" i="73"/>
  <c r="H40" i="73" s="1"/>
  <c r="H36" i="64"/>
  <c r="H36" i="62"/>
  <c r="H36" i="85"/>
  <c r="H38" i="85" s="1"/>
  <c r="H40" i="85" s="1"/>
  <c r="H36" i="107"/>
  <c r="H34" i="58"/>
  <c r="H36" i="100"/>
  <c r="H38" i="100" s="1"/>
  <c r="H40" i="100" s="1"/>
  <c r="H34" i="50"/>
  <c r="H34" i="59"/>
  <c r="H34" i="54"/>
  <c r="H38" i="102"/>
  <c r="H40" i="102" s="1"/>
  <c r="H36" i="76"/>
  <c r="H38" i="56"/>
  <c r="H40" i="56" s="1"/>
  <c r="H34" i="60"/>
  <c r="H38" i="105"/>
  <c r="H40" i="105" s="1"/>
  <c r="H36" i="83"/>
  <c r="H38" i="83" s="1"/>
  <c r="H40" i="83" s="1"/>
  <c r="H38" i="87"/>
  <c r="H40" i="87" s="1"/>
  <c r="H38" i="78"/>
  <c r="H40" i="78" s="1"/>
  <c r="H38" i="101"/>
  <c r="H40" i="101" s="1"/>
  <c r="H36" i="67"/>
  <c r="H36" i="99"/>
  <c r="H36" i="92"/>
  <c r="H36" i="95"/>
  <c r="H36" i="55"/>
  <c r="H36" i="54"/>
  <c r="H38" i="103"/>
  <c r="H40" i="103" s="1"/>
  <c r="H38" i="71"/>
  <c r="H40" i="71" s="1"/>
  <c r="H38" i="79"/>
  <c r="H40" i="79" s="1"/>
  <c r="H38" i="70"/>
  <c r="H40" i="70" s="1"/>
  <c r="H38" i="82"/>
  <c r="H40" i="82" s="1"/>
  <c r="H38" i="84"/>
  <c r="H40" i="84" s="1"/>
  <c r="H38" i="75"/>
  <c r="H40" i="75" s="1"/>
  <c r="H38" i="107"/>
  <c r="H40" i="107" s="1"/>
  <c r="H36" i="58"/>
  <c r="H34" i="57"/>
  <c r="H36" i="61"/>
  <c r="L8" i="49"/>
  <c r="L9" i="49"/>
  <c r="H38" i="76" l="1"/>
  <c r="H40" i="76" s="1"/>
  <c r="H38" i="62"/>
  <c r="H40" i="62" s="1"/>
  <c r="H36" i="51"/>
  <c r="H38" i="92"/>
  <c r="H40" i="92" s="1"/>
  <c r="H38" i="54"/>
  <c r="H40" i="54" s="1"/>
  <c r="H38" i="55"/>
  <c r="H40" i="55" s="1"/>
  <c r="H38" i="64"/>
  <c r="H40" i="64" s="1"/>
  <c r="H38" i="61"/>
  <c r="H40" i="61" s="1"/>
  <c r="H38" i="58"/>
  <c r="H40" i="58" s="1"/>
  <c r="H36" i="60"/>
  <c r="H36" i="59"/>
  <c r="H36" i="50"/>
  <c r="H36" i="53"/>
  <c r="H38" i="94"/>
  <c r="H40" i="94" s="1"/>
  <c r="H38" i="67"/>
  <c r="H40" i="67" s="1"/>
  <c r="H38" i="95"/>
  <c r="H40" i="95" s="1"/>
  <c r="H38" i="99"/>
  <c r="H40" i="99" s="1"/>
  <c r="H36" i="57"/>
  <c r="H24" i="31"/>
  <c r="H20" i="31"/>
  <c r="H19" i="31"/>
  <c r="H18" i="31"/>
  <c r="H17" i="31"/>
  <c r="H16" i="31"/>
  <c r="H15" i="31"/>
  <c r="H14" i="31"/>
  <c r="H13" i="31"/>
  <c r="H12" i="31"/>
  <c r="H11" i="31"/>
  <c r="H9" i="31"/>
  <c r="H8" i="31"/>
  <c r="H24" i="30"/>
  <c r="H20" i="30"/>
  <c r="H19" i="30"/>
  <c r="H18" i="30"/>
  <c r="H17" i="30"/>
  <c r="H16" i="30"/>
  <c r="H15" i="30"/>
  <c r="H14" i="30"/>
  <c r="H13" i="30"/>
  <c r="H12" i="30"/>
  <c r="H11" i="30"/>
  <c r="H9" i="30"/>
  <c r="H8" i="30"/>
  <c r="H13" i="29"/>
  <c r="H12" i="29"/>
  <c r="H28" i="29" s="1"/>
  <c r="H11" i="29"/>
  <c r="H9" i="29"/>
  <c r="H8" i="29"/>
  <c r="H31" i="28"/>
  <c r="H16" i="28"/>
  <c r="H15" i="28"/>
  <c r="H13" i="28"/>
  <c r="H12" i="28"/>
  <c r="H28" i="28" s="1"/>
  <c r="H11" i="28"/>
  <c r="H9" i="28"/>
  <c r="H8" i="28"/>
  <c r="H31" i="27"/>
  <c r="H16" i="27"/>
  <c r="H15" i="27"/>
  <c r="H13" i="27"/>
  <c r="H12" i="27"/>
  <c r="H28" i="27" s="1"/>
  <c r="H11" i="27"/>
  <c r="H9" i="27"/>
  <c r="H8" i="27"/>
  <c r="H31" i="26"/>
  <c r="H13" i="26"/>
  <c r="H12" i="26"/>
  <c r="H28" i="26" s="1"/>
  <c r="H11" i="26"/>
  <c r="H9" i="26"/>
  <c r="H8" i="26"/>
  <c r="H24" i="17"/>
  <c r="H20" i="17"/>
  <c r="H19" i="17"/>
  <c r="H18" i="17"/>
  <c r="H17" i="17"/>
  <c r="H16" i="17"/>
  <c r="H15" i="17"/>
  <c r="H14" i="17"/>
  <c r="H13" i="17"/>
  <c r="H12" i="17"/>
  <c r="H11" i="17"/>
  <c r="H9" i="17"/>
  <c r="H8" i="17"/>
  <c r="H24" i="16"/>
  <c r="H20" i="16"/>
  <c r="H19" i="16"/>
  <c r="H18" i="16"/>
  <c r="H17" i="16"/>
  <c r="H16" i="16"/>
  <c r="H15" i="16"/>
  <c r="H14" i="16"/>
  <c r="H13" i="16"/>
  <c r="H12" i="16"/>
  <c r="H11" i="16"/>
  <c r="H9" i="16"/>
  <c r="H8" i="16"/>
  <c r="H24" i="15"/>
  <c r="H20" i="15"/>
  <c r="H19" i="15"/>
  <c r="H18" i="15"/>
  <c r="H17" i="15"/>
  <c r="H16" i="15"/>
  <c r="H15" i="15"/>
  <c r="H14" i="15"/>
  <c r="H13" i="15"/>
  <c r="H12" i="15"/>
  <c r="H11" i="15"/>
  <c r="H9" i="15"/>
  <c r="H8" i="15"/>
  <c r="H24" i="14"/>
  <c r="H20" i="14"/>
  <c r="H19" i="14"/>
  <c r="H18" i="14"/>
  <c r="H17" i="14"/>
  <c r="H16" i="14"/>
  <c r="H15" i="14"/>
  <c r="H14" i="14"/>
  <c r="H13" i="14"/>
  <c r="H12" i="14"/>
  <c r="H11" i="14"/>
  <c r="H9" i="14"/>
  <c r="H8" i="14"/>
  <c r="H24" i="13"/>
  <c r="H20" i="13"/>
  <c r="H19" i="13"/>
  <c r="H18" i="13"/>
  <c r="H17" i="13"/>
  <c r="H16" i="13"/>
  <c r="H15" i="13"/>
  <c r="H14" i="13"/>
  <c r="H13" i="13"/>
  <c r="H12" i="13"/>
  <c r="H11" i="13"/>
  <c r="H9" i="13"/>
  <c r="H8" i="13"/>
  <c r="H24" i="12"/>
  <c r="H20" i="12"/>
  <c r="H19" i="12"/>
  <c r="H18" i="12"/>
  <c r="H17" i="12"/>
  <c r="H16" i="12"/>
  <c r="H15" i="12"/>
  <c r="H14" i="12"/>
  <c r="H13" i="12"/>
  <c r="H12" i="12"/>
  <c r="H11" i="12"/>
  <c r="H9" i="12"/>
  <c r="H8" i="12"/>
  <c r="H24" i="11"/>
  <c r="H20" i="11"/>
  <c r="H19" i="11"/>
  <c r="H18" i="11"/>
  <c r="H17" i="11"/>
  <c r="H16" i="11"/>
  <c r="H15" i="11"/>
  <c r="H14" i="11"/>
  <c r="H13" i="11"/>
  <c r="H12" i="11"/>
  <c r="H11" i="11"/>
  <c r="H9" i="11"/>
  <c r="H8" i="11"/>
  <c r="H31" i="9"/>
  <c r="H15" i="9"/>
  <c r="H14" i="9"/>
  <c r="H13" i="9"/>
  <c r="H12" i="9"/>
  <c r="H11" i="9"/>
  <c r="H24" i="8"/>
  <c r="H20" i="8"/>
  <c r="H19" i="8"/>
  <c r="H18" i="8"/>
  <c r="H17" i="8"/>
  <c r="H16" i="8"/>
  <c r="H15" i="8"/>
  <c r="H14" i="8"/>
  <c r="H13" i="8"/>
  <c r="H12" i="8"/>
  <c r="H11" i="8"/>
  <c r="H9" i="8"/>
  <c r="H8" i="8"/>
  <c r="H31" i="7"/>
  <c r="H13" i="7"/>
  <c r="H12" i="7"/>
  <c r="H28" i="7" s="1"/>
  <c r="H11" i="7"/>
  <c r="H9" i="7"/>
  <c r="H8" i="7"/>
  <c r="H31" i="6"/>
  <c r="H13" i="6"/>
  <c r="H12" i="6"/>
  <c r="H11" i="6"/>
  <c r="H9" i="6"/>
  <c r="H8" i="6"/>
  <c r="H31" i="5"/>
  <c r="H13" i="5"/>
  <c r="H12" i="5"/>
  <c r="H28" i="5" s="1"/>
  <c r="H11" i="5"/>
  <c r="H9" i="5"/>
  <c r="H8" i="5"/>
  <c r="H31" i="4"/>
  <c r="H22" i="4"/>
  <c r="H15" i="4"/>
  <c r="H14" i="4"/>
  <c r="H13" i="4"/>
  <c r="H12" i="4"/>
  <c r="H11" i="4"/>
  <c r="H9" i="4"/>
  <c r="H8" i="4"/>
  <c r="H31" i="3"/>
  <c r="H22" i="3"/>
  <c r="H15" i="3"/>
  <c r="H14" i="3"/>
  <c r="H13" i="3"/>
  <c r="H12" i="3"/>
  <c r="H11" i="3"/>
  <c r="H31" i="2"/>
  <c r="H22" i="2"/>
  <c r="H20" i="2"/>
  <c r="H18" i="2"/>
  <c r="H17" i="2"/>
  <c r="H16" i="2"/>
  <c r="H15" i="2"/>
  <c r="H14" i="2"/>
  <c r="H13" i="2"/>
  <c r="H12" i="2"/>
  <c r="H11" i="2"/>
  <c r="M8" i="49"/>
  <c r="M9" i="49"/>
  <c r="H38" i="59" l="1"/>
  <c r="H40" i="59" s="1"/>
  <c r="H38" i="53"/>
  <c r="H40" i="53" s="1"/>
  <c r="H38" i="60"/>
  <c r="H40" i="60" s="1"/>
  <c r="H38" i="51"/>
  <c r="H40" i="51" s="1"/>
  <c r="H38" i="50"/>
  <c r="H40" i="50" s="1"/>
  <c r="H28" i="3"/>
  <c r="H28" i="2"/>
  <c r="H28" i="4"/>
  <c r="H28" i="9"/>
  <c r="H28" i="6"/>
  <c r="H38" i="57"/>
  <c r="H40" i="57" s="1"/>
  <c r="H10" i="26"/>
  <c r="H10" i="7"/>
  <c r="H21" i="16"/>
  <c r="H21" i="13"/>
  <c r="H10" i="17"/>
  <c r="H10" i="6"/>
  <c r="H10" i="14"/>
  <c r="H21" i="31"/>
  <c r="H21" i="12"/>
  <c r="H21" i="15"/>
  <c r="H10" i="5"/>
  <c r="H21" i="30"/>
  <c r="H21" i="11"/>
  <c r="H21" i="8"/>
  <c r="H21" i="17"/>
  <c r="H21" i="14"/>
  <c r="H10" i="31"/>
  <c r="H10" i="30"/>
  <c r="H10" i="29"/>
  <c r="H10" i="28"/>
  <c r="H10" i="27"/>
  <c r="H10" i="16"/>
  <c r="H10" i="15"/>
  <c r="H10" i="13"/>
  <c r="H10" i="12"/>
  <c r="H10" i="11"/>
  <c r="H10" i="8"/>
  <c r="H10" i="4"/>
  <c r="N9" i="49"/>
  <c r="J6" i="49"/>
  <c r="N8" i="49"/>
  <c r="J5" i="49"/>
  <c r="F8" i="49"/>
  <c r="J4" i="49"/>
  <c r="G8" i="49" l="1"/>
  <c r="H30" i="29"/>
  <c r="H23" i="17"/>
  <c r="H25" i="17" s="1"/>
  <c r="H32" i="29"/>
  <c r="H23" i="12"/>
  <c r="H25" i="12" s="1"/>
  <c r="H27" i="12" s="1"/>
  <c r="H30" i="28"/>
  <c r="H30" i="5"/>
  <c r="H30" i="26"/>
  <c r="H30" i="3"/>
  <c r="H30" i="7"/>
  <c r="H23" i="15"/>
  <c r="H30" i="6"/>
  <c r="H30" i="4"/>
  <c r="H23" i="31"/>
  <c r="H23" i="14"/>
  <c r="H30" i="9"/>
  <c r="H23" i="8"/>
  <c r="H23" i="13"/>
  <c r="H23" i="11"/>
  <c r="H30" i="27"/>
  <c r="H23" i="30"/>
  <c r="H23" i="16"/>
  <c r="H30" i="2"/>
  <c r="F9" i="49"/>
  <c r="G9" i="49" l="1"/>
  <c r="H34" i="29"/>
  <c r="H32" i="26"/>
  <c r="H32" i="28"/>
  <c r="H32" i="3"/>
  <c r="H32" i="5"/>
  <c r="H27" i="17"/>
  <c r="H29" i="17" s="1"/>
  <c r="H32" i="17" s="1"/>
  <c r="H36" i="29"/>
  <c r="H32" i="7"/>
  <c r="H25" i="15"/>
  <c r="H27" i="15" s="1"/>
  <c r="H32" i="2"/>
  <c r="H25" i="11"/>
  <c r="H32" i="9"/>
  <c r="H32" i="6"/>
  <c r="H25" i="14"/>
  <c r="H32" i="4"/>
  <c r="H25" i="8"/>
  <c r="H27" i="8" s="1"/>
  <c r="H32" i="27"/>
  <c r="H25" i="16"/>
  <c r="H25" i="13"/>
  <c r="H27" i="13" s="1"/>
  <c r="H29" i="13" s="1"/>
  <c r="H32" i="13" s="1"/>
  <c r="H29" i="12"/>
  <c r="H32" i="12" s="1"/>
  <c r="H25" i="30"/>
  <c r="H25" i="31"/>
  <c r="K6" i="49"/>
  <c r="K4" i="49"/>
  <c r="K5" i="49"/>
  <c r="H38" i="29" l="1"/>
  <c r="H40" i="29" s="1"/>
  <c r="H34" i="28"/>
  <c r="H34" i="9"/>
  <c r="H34" i="26"/>
  <c r="H36" i="26" s="1"/>
  <c r="H34" i="4"/>
  <c r="H34" i="3"/>
  <c r="H34" i="6"/>
  <c r="H34" i="5"/>
  <c r="H36" i="5"/>
  <c r="H27" i="14"/>
  <c r="H29" i="14" s="1"/>
  <c r="H29" i="15"/>
  <c r="H32" i="15" s="1"/>
  <c r="H27" i="31"/>
  <c r="H36" i="6"/>
  <c r="H34" i="7"/>
  <c r="H36" i="9"/>
  <c r="H29" i="8"/>
  <c r="H32" i="8" s="1"/>
  <c r="H34" i="27"/>
  <c r="H34" i="2"/>
  <c r="H27" i="16"/>
  <c r="H29" i="16" s="1"/>
  <c r="H32" i="16" s="1"/>
  <c r="H36" i="3"/>
  <c r="H27" i="30"/>
  <c r="H29" i="30" s="1"/>
  <c r="H32" i="30" s="1"/>
  <c r="H27" i="11"/>
  <c r="H29" i="11" s="1"/>
  <c r="H32" i="11" s="1"/>
  <c r="L6" i="49"/>
  <c r="L4" i="49"/>
  <c r="L5" i="49"/>
  <c r="M5" i="49"/>
  <c r="H38" i="3" l="1"/>
  <c r="H40" i="3" s="1"/>
  <c r="H38" i="6"/>
  <c r="H40" i="6" s="1"/>
  <c r="H38" i="26"/>
  <c r="H40" i="26" s="1"/>
  <c r="H36" i="2"/>
  <c r="H38" i="9"/>
  <c r="H40" i="9" s="1"/>
  <c r="H36" i="28"/>
  <c r="H36" i="27"/>
  <c r="H36" i="7"/>
  <c r="H36" i="4"/>
  <c r="H38" i="7"/>
  <c r="H40" i="7" s="1"/>
  <c r="H38" i="27"/>
  <c r="H40" i="27" s="1"/>
  <c r="H38" i="2"/>
  <c r="H40" i="2" s="1"/>
  <c r="H38" i="5"/>
  <c r="H40" i="5" s="1"/>
  <c r="H32" i="14"/>
  <c r="H29" i="31"/>
  <c r="H32" i="31" s="1"/>
  <c r="F4" i="49"/>
  <c r="M4" i="49"/>
  <c r="N5" i="49"/>
  <c r="F6" i="49"/>
  <c r="N6" i="49"/>
  <c r="N4" i="49"/>
  <c r="F5" i="49"/>
  <c r="M6" i="49"/>
  <c r="G6" i="49" l="1"/>
  <c r="G5" i="49"/>
  <c r="H38" i="4"/>
  <c r="H40" i="4" s="1"/>
  <c r="H38" i="28"/>
  <c r="H40" i="28" s="1"/>
  <c r="G4" i="4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Sontag</author>
  </authors>
  <commentList>
    <comment ref="B7" authorId="0" shapeId="0" xr:uid="{5C4A5F44-3D72-438E-BF6F-4805D3132410}">
      <text>
        <r>
          <rPr>
            <b/>
            <sz val="9"/>
            <color indexed="81"/>
            <rFont val="Tahoma"/>
            <charset val="1"/>
          </rPr>
          <t>Michael Sontag:</t>
        </r>
        <r>
          <rPr>
            <sz val="9"/>
            <color indexed="81"/>
            <rFont val="Tahoma"/>
            <charset val="1"/>
          </rPr>
          <t xml:space="preserve">
Not included in AECOM data. Added by E3</t>
        </r>
      </text>
    </comment>
  </commentList>
</comments>
</file>

<file path=xl/sharedStrings.xml><?xml version="1.0" encoding="utf-8"?>
<sst xmlns="http://schemas.openxmlformats.org/spreadsheetml/2006/main" count="3359" uniqueCount="113">
  <si>
    <t>Electric Resistance</t>
  </si>
  <si>
    <t>Induction</t>
  </si>
  <si>
    <t>Gas/Electric</t>
  </si>
  <si>
    <t>Retrofit</t>
  </si>
  <si>
    <t>New Construction</t>
  </si>
  <si>
    <t>Option 2</t>
  </si>
  <si>
    <t>Option 1</t>
  </si>
  <si>
    <t>Cookstove</t>
  </si>
  <si>
    <t>Central ASHP with electric resistance condenser air-preheater and large storage tank</t>
  </si>
  <si>
    <t>Central Gas WH with storage</t>
  </si>
  <si>
    <t>High-Rise Multi-family</t>
  </si>
  <si>
    <t>HPWH, ducted, inside home</t>
  </si>
  <si>
    <t>Gas WH w/storage, outdoor closet</t>
  </si>
  <si>
    <t>Pre 1978</t>
  </si>
  <si>
    <t>HPWH, ducted, in outdoor closet</t>
  </si>
  <si>
    <t>1990's</t>
  </si>
  <si>
    <t>HPWH in outdoor closet</t>
  </si>
  <si>
    <t>Gas tankless WH in outdoor closet</t>
  </si>
  <si>
    <t>-</t>
  </si>
  <si>
    <t>Low Rise Multi-family</t>
  </si>
  <si>
    <t>Heat pump water heater, ducted inside home</t>
  </si>
  <si>
    <t>Gas WH with storage, inside home</t>
  </si>
  <si>
    <t>Heat pump water heater in garage</t>
  </si>
  <si>
    <t>Gas WH with storage in garage</t>
  </si>
  <si>
    <t>Gas Tankless WH in garage</t>
  </si>
  <si>
    <t>Single family</t>
  </si>
  <si>
    <t>Electric Option</t>
  </si>
  <si>
    <t>Gas Option</t>
  </si>
  <si>
    <t>Existing</t>
  </si>
  <si>
    <t>Wate Heater</t>
  </si>
  <si>
    <t>Low-Rise Multi-Family</t>
  </si>
  <si>
    <t>Pre-1978</t>
  </si>
  <si>
    <t>Demolition</t>
  </si>
  <si>
    <t>Labor</t>
  </si>
  <si>
    <t>HR</t>
  </si>
  <si>
    <t>Disposal</t>
  </si>
  <si>
    <t>LS</t>
  </si>
  <si>
    <t>Installation</t>
  </si>
  <si>
    <t>EA</t>
  </si>
  <si>
    <t>Miscellaneous supplies</t>
  </si>
  <si>
    <t>Subtotal</t>
  </si>
  <si>
    <t>General Conditions, Overhead and Profit</t>
  </si>
  <si>
    <t>Recommended Budget</t>
  </si>
  <si>
    <t>Water Heater</t>
  </si>
  <si>
    <t>Remove Existing Boiler</t>
  </si>
  <si>
    <t>New water heater, equipment price</t>
  </si>
  <si>
    <t>Single Family</t>
  </si>
  <si>
    <t>190 kBtu/h, 0.81 UEF (0.82 EF) gas tankless in garage</t>
  </si>
  <si>
    <t>Piping</t>
  </si>
  <si>
    <t>80gal heat pump water heater in garage 3.0 UEF, NEEA Tier 3</t>
  </si>
  <si>
    <t>80gal heat pump water heater in garage 2.2 UEF</t>
  </si>
  <si>
    <t>80gal heat pump water heater in garage 3.4 UEF, NEEA Tier 3</t>
  </si>
  <si>
    <t>50gal heat pump water heater in garage 3.0 UEF, NEEA Tier 3</t>
  </si>
  <si>
    <t>50gal heat pump water heater inside home 3.0 UEF, NEEA Tier 3</t>
  </si>
  <si>
    <t>50gal heat pump water heater in garage 2.0 UEF</t>
  </si>
  <si>
    <t>50gal heat pump water heater in garage 3.4 UEF, NEEA Tier 3</t>
  </si>
  <si>
    <t>50gal, 0.63 UEF (0.60 EF) gas storage in garage</t>
  </si>
  <si>
    <t>50gal, 0.63 UEF (0.60 EF) gas storage inside home</t>
  </si>
  <si>
    <t>50gal heat pump water heater inside home 2.0 UEF</t>
  </si>
  <si>
    <t>50gal heat pump water heater inside home 3.4 UEF, NEEA Tier 3</t>
  </si>
  <si>
    <t>140 kBtu/h, 0.81 UEF (0.82 EF) gas tankless in outdooor closet</t>
  </si>
  <si>
    <t>50gal heat pump water heater in outdoor closet 3.0 UEF, NEEA Tier 3</t>
  </si>
  <si>
    <t>50gal heat pump water heater in outdoor closet 3.4 UEF, NEEA Tier 3</t>
  </si>
  <si>
    <t>50gal heat pump water heater in outdoor closet 2.2 UEF</t>
  </si>
  <si>
    <t>50gal, 0.63 UEF (0.60 EF) gas storage in outdoor closet</t>
  </si>
  <si>
    <t xml:space="preserve">Zone </t>
  </si>
  <si>
    <t>OH&amp;P</t>
  </si>
  <si>
    <t xml:space="preserve">Design </t>
  </si>
  <si>
    <t>Market</t>
  </si>
  <si>
    <t>Sacramento</t>
  </si>
  <si>
    <t>Design and Engineering</t>
  </si>
  <si>
    <t>Contractor Profit/Market Factor</t>
  </si>
  <si>
    <t>O1</t>
  </si>
  <si>
    <t>A3</t>
  </si>
  <si>
    <t>A4</t>
  </si>
  <si>
    <t>D15</t>
  </si>
  <si>
    <t>Connection/modification of hot water piping, including valves</t>
  </si>
  <si>
    <t>Modification to gas piping</t>
  </si>
  <si>
    <t>Materials</t>
  </si>
  <si>
    <t>Condensate piping</t>
  </si>
  <si>
    <t>Not Available</t>
  </si>
  <si>
    <t>SF NC Gas WH Z9</t>
  </si>
  <si>
    <t>Not required</t>
  </si>
  <si>
    <t>Retail</t>
  </si>
  <si>
    <t>Test &amp; Inspect</t>
  </si>
  <si>
    <t>Permit, testing and inspection</t>
  </si>
  <si>
    <t xml:space="preserve">Gas and Electrical Supply </t>
  </si>
  <si>
    <t>New electrical circuits to equipment</t>
  </si>
  <si>
    <t>Panel and main service modification</t>
  </si>
  <si>
    <t>Gas supply piping</t>
  </si>
  <si>
    <t>LF</t>
  </si>
  <si>
    <t>Technologies</t>
  </si>
  <si>
    <t>Climate Zone</t>
  </si>
  <si>
    <t>Fuel Option</t>
  </si>
  <si>
    <t>Building Type</t>
  </si>
  <si>
    <t>Description</t>
  </si>
  <si>
    <t>H10</t>
  </si>
  <si>
    <t>H40</t>
  </si>
  <si>
    <t>H28</t>
  </si>
  <si>
    <t>H32</t>
  </si>
  <si>
    <t>H34</t>
  </si>
  <si>
    <t>H36</t>
  </si>
  <si>
    <t>H38</t>
  </si>
  <si>
    <t>Per Unit Budget</t>
  </si>
  <si>
    <t>SF NC Gas WH Z3</t>
  </si>
  <si>
    <t>SF NC Electric WH Z3 S</t>
  </si>
  <si>
    <t>SF NC Electric WH Z3 O2</t>
  </si>
  <si>
    <t>SF NC Gas WH Z12 gas storage</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</si>
  <si>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</si>
  <si>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</si>
  <si>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H14</t>
  </si>
  <si>
    <t>SF NC Electric WH Z3 ER</t>
  </si>
  <si>
    <t>50gal 0.92 UEF electric resistance water heater in garage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</si>
</sst>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quot;Zone &quot;\ #"/>
    <numFmt numFmtId="166" formatCode="&quot;$&quot;#,##0.00;[Red]&quot;$&quot;#,##0.00"/>
  </numFmts>
  <fonts count="6" x14ac:knownFonts="1">
    <font>
      <sz val="11"/>
      <color theme="1"/>
      <name val="Calibri"/>
      <family val="2"/>
      <scheme val="minor"/>
    </font>
    <font>
      <i/>
      <sz val="11"/>
      <color theme="1"/>
      <name val="Calibri"/>
      <family val="2"/>
      <scheme val="minor"/>
    </font>
    <font>
      <b/>
      <sz val="11"/>
      <color theme="1"/>
      <name val="Calibri"/>
      <family val="2"/>
      <scheme val="minor"/>
    </font>
    <font>
      <i/>
      <sz val="11"/>
      <color rgb="FF7F7F7F"/>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s>
  <borders count="3">
    <border>
      <left/>
      <right/>
      <top/>
      <bottom/>
      <diagonal/>
    </border>
    <border>
      <left/>
      <right/>
      <top style="thin">
        <color indexed="64"/>
      </top>
      <bottom/>
      <diagonal/>
    </border>
    <border>
      <left/>
      <right/>
      <top style="thin">
        <color indexed="64"/>
      </top>
      <bottom style="double">
        <color indexed="64"/>
      </bottom>
      <diagonal/>
    </border>
  </borders>
  <cellStyleXfs count="2">
    <xf numFmtId="0" fontId="0" fillId="0" borderId="0"/>
    <xf numFmtId="0" fontId="3" fillId="0" borderId="0" applyNumberFormat="0" applyFill="0" applyBorder="0" applyAlignment="0" applyProtection="0"/>
  </cellStyleXfs>
  <cellXfs count="76">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horizontal="center" vertical="top"/>
    </xf>
    <xf numFmtId="4" fontId="0" fillId="0" borderId="0" xfId="0" applyNumberFormat="1"/>
    <xf numFmtId="3" fontId="0" fillId="0" borderId="0" xfId="0" applyNumberFormat="1"/>
    <xf numFmtId="164" fontId="0" fillId="0" borderId="0" xfId="0" applyNumberFormat="1"/>
    <xf numFmtId="0" fontId="0" fillId="0" borderId="1" xfId="0" applyBorder="1"/>
    <xf numFmtId="0" fontId="0" fillId="0" borderId="1" xfId="0" applyBorder="1" applyAlignment="1">
      <alignment horizontal="center" vertical="top"/>
    </xf>
    <xf numFmtId="4" fontId="0" fillId="0" borderId="1" xfId="0" applyNumberFormat="1" applyBorder="1"/>
    <xf numFmtId="164" fontId="0" fillId="0" borderId="1" xfId="0" applyNumberFormat="1" applyBorder="1"/>
    <xf numFmtId="4" fontId="0" fillId="0" borderId="0" xfId="0" applyNumberFormat="1" applyFill="1"/>
    <xf numFmtId="0" fontId="1" fillId="0" borderId="0" xfId="0" applyFont="1" applyFill="1" applyAlignment="1">
      <alignment wrapText="1"/>
    </xf>
    <xf numFmtId="0" fontId="0" fillId="0" borderId="0" xfId="0" applyBorder="1"/>
    <xf numFmtId="0" fontId="0" fillId="0" borderId="0" xfId="0" applyBorder="1" applyAlignment="1">
      <alignment horizontal="center" vertical="top"/>
    </xf>
    <xf numFmtId="4" fontId="0" fillId="0" borderId="0" xfId="0" applyNumberFormat="1" applyBorder="1"/>
    <xf numFmtId="164" fontId="0" fillId="0" borderId="0" xfId="0" applyNumberFormat="1" applyBorder="1"/>
    <xf numFmtId="9" fontId="0" fillId="0" borderId="0" xfId="0" applyNumberFormat="1"/>
    <xf numFmtId="0" fontId="0" fillId="0" borderId="2" xfId="0" applyBorder="1"/>
    <xf numFmtId="0" fontId="0" fillId="0" borderId="0" xfId="0" applyAlignment="1">
      <alignment horizontal="center"/>
    </xf>
    <xf numFmtId="0" fontId="0" fillId="0" borderId="2" xfId="0" applyBorder="1" applyAlignment="1">
      <alignment horizontal="center"/>
    </xf>
    <xf numFmtId="4" fontId="0" fillId="0" borderId="2" xfId="0" applyNumberFormat="1" applyBorder="1"/>
    <xf numFmtId="164" fontId="0" fillId="0" borderId="2" xfId="0" applyNumberFormat="1" applyBorder="1"/>
    <xf numFmtId="9" fontId="0" fillId="0" borderId="0" xfId="0" applyNumberFormat="1" applyBorder="1"/>
    <xf numFmtId="0" fontId="0" fillId="0" borderId="0" xfId="0" applyAlignment="1"/>
    <xf numFmtId="4" fontId="0" fillId="0" borderId="0" xfId="0" applyNumberFormat="1" applyAlignment="1"/>
    <xf numFmtId="3" fontId="0" fillId="0" borderId="0" xfId="0" applyNumberFormat="1" applyAlignment="1"/>
    <xf numFmtId="164" fontId="0" fillId="0" borderId="0" xfId="0" applyNumberFormat="1" applyAlignment="1"/>
    <xf numFmtId="0" fontId="0" fillId="0" borderId="1" xfId="0" applyBorder="1" applyAlignment="1"/>
    <xf numFmtId="0" fontId="0" fillId="0" borderId="1" xfId="0" applyBorder="1" applyAlignment="1">
      <alignment horizontal="center"/>
    </xf>
    <xf numFmtId="4" fontId="0" fillId="0" borderId="1" xfId="0" applyNumberFormat="1" applyBorder="1" applyAlignment="1"/>
    <xf numFmtId="164" fontId="0" fillId="0" borderId="1" xfId="0" applyNumberFormat="1" applyBorder="1" applyAlignment="1"/>
    <xf numFmtId="4" fontId="0" fillId="0" borderId="0" xfId="0" applyNumberFormat="1" applyFill="1" applyAlignment="1"/>
    <xf numFmtId="0" fontId="0" fillId="0" borderId="0" xfId="0" applyBorder="1" applyAlignment="1"/>
    <xf numFmtId="0" fontId="0" fillId="0" borderId="0" xfId="0" applyBorder="1" applyAlignment="1">
      <alignment horizontal="center"/>
    </xf>
    <xf numFmtId="4" fontId="0" fillId="0" borderId="0" xfId="0" applyNumberFormat="1" applyBorder="1" applyAlignment="1"/>
    <xf numFmtId="164" fontId="0" fillId="0" borderId="0" xfId="0" applyNumberFormat="1" applyBorder="1" applyAlignment="1"/>
    <xf numFmtId="9" fontId="0" fillId="0" borderId="0" xfId="0" applyNumberFormat="1" applyAlignment="1"/>
    <xf numFmtId="0" fontId="0" fillId="0" borderId="2" xfId="0" applyBorder="1" applyAlignment="1"/>
    <xf numFmtId="4" fontId="0" fillId="0" borderId="2" xfId="0" applyNumberFormat="1" applyBorder="1" applyAlignment="1"/>
    <xf numFmtId="164" fontId="0" fillId="0" borderId="2" xfId="0" applyNumberFormat="1" applyBorder="1" applyAlignment="1"/>
    <xf numFmtId="9" fontId="0" fillId="0" borderId="0" xfId="0" applyNumberFormat="1" applyBorder="1" applyAlignment="1"/>
    <xf numFmtId="0" fontId="0" fillId="0" borderId="0" xfId="0" applyFill="1" applyAlignment="1"/>
    <xf numFmtId="0" fontId="0" fillId="0" borderId="0" xfId="0" applyFill="1" applyAlignment="1">
      <alignment horizontal="center"/>
    </xf>
    <xf numFmtId="164" fontId="0" fillId="0" borderId="0" xfId="0" applyNumberFormat="1" applyFill="1" applyAlignment="1"/>
    <xf numFmtId="0" fontId="0" fillId="0" borderId="0" xfId="0" applyAlignment="1">
      <alignment horizontal="left" wrapText="1" indent="1"/>
    </xf>
    <xf numFmtId="0" fontId="0" fillId="0" borderId="0" xfId="0" applyAlignment="1">
      <alignment horizontal="left" indent="1"/>
    </xf>
    <xf numFmtId="164" fontId="1" fillId="0" borderId="0" xfId="0" applyNumberFormat="1" applyFont="1" applyAlignment="1">
      <alignment horizontal="right"/>
    </xf>
    <xf numFmtId="3" fontId="1" fillId="0" borderId="0" xfId="0" applyNumberFormat="1" applyFont="1" applyAlignment="1">
      <alignment horizontal="right"/>
    </xf>
    <xf numFmtId="0" fontId="2" fillId="0" borderId="0" xfId="0" applyFont="1"/>
    <xf numFmtId="10" fontId="0" fillId="0" borderId="0" xfId="0" applyNumberFormat="1" applyAlignment="1"/>
    <xf numFmtId="0" fontId="0" fillId="0" borderId="0" xfId="0" applyFill="1"/>
    <xf numFmtId="164" fontId="0" fillId="0" borderId="0" xfId="0" applyNumberFormat="1" applyFill="1"/>
    <xf numFmtId="3" fontId="1" fillId="0" borderId="0" xfId="0" applyNumberFormat="1" applyFont="1" applyFill="1" applyAlignment="1">
      <alignment horizontal="right"/>
    </xf>
    <xf numFmtId="0" fontId="0" fillId="0" borderId="0" xfId="0" applyAlignment="1">
      <alignment horizontal="left"/>
    </xf>
    <xf numFmtId="0" fontId="0" fillId="0" borderId="0" xfId="0" quotePrefix="1" applyAlignment="1">
      <alignment horizontal="left"/>
    </xf>
    <xf numFmtId="165" fontId="0" fillId="0" borderId="0" xfId="0" quotePrefix="1" applyNumberFormat="1" applyAlignment="1">
      <alignment horizontal="left"/>
    </xf>
    <xf numFmtId="166" fontId="0" fillId="0" borderId="0" xfId="0" quotePrefix="1" applyNumberFormat="1" applyAlignment="1">
      <alignment horizontal="left"/>
    </xf>
    <xf numFmtId="4" fontId="0" fillId="2" borderId="0" xfId="0" applyNumberFormat="1" applyFill="1"/>
    <xf numFmtId="0" fontId="1" fillId="3" borderId="0" xfId="0" applyFont="1" applyFill="1" applyAlignment="1">
      <alignment wrapText="1"/>
    </xf>
    <xf numFmtId="4" fontId="0" fillId="3" borderId="0" xfId="0" applyNumberFormat="1" applyFill="1" applyAlignment="1"/>
    <xf numFmtId="0" fontId="0" fillId="3" borderId="0" xfId="0" applyFill="1"/>
    <xf numFmtId="9" fontId="0" fillId="3" borderId="0" xfId="0" applyNumberFormat="1" applyFill="1"/>
    <xf numFmtId="10" fontId="0" fillId="3" borderId="0" xfId="0" applyNumberFormat="1" applyFill="1"/>
    <xf numFmtId="0" fontId="2" fillId="0" borderId="0" xfId="0" applyFont="1" applyAlignment="1">
      <alignment horizontal="left"/>
    </xf>
    <xf numFmtId="0" fontId="2" fillId="0" borderId="0" xfId="0" quotePrefix="1" applyFont="1" applyAlignment="1">
      <alignment horizontal="left"/>
    </xf>
    <xf numFmtId="0" fontId="3" fillId="0" borderId="0" xfId="1"/>
    <xf numFmtId="0" fontId="3" fillId="0" borderId="0" xfId="1" applyAlignment="1">
      <alignment horizontal="left"/>
    </xf>
    <xf numFmtId="0" fontId="0" fillId="3" borderId="0" xfId="0" applyFill="1" applyAlignment="1">
      <alignment horizontal="left"/>
    </xf>
    <xf numFmtId="0" fontId="0" fillId="3" borderId="0" xfId="0" quotePrefix="1" applyFill="1" applyAlignment="1">
      <alignment horizontal="left"/>
    </xf>
    <xf numFmtId="166" fontId="0" fillId="3" borderId="0" xfId="0" quotePrefix="1" applyNumberFormat="1" applyFill="1" applyAlignment="1">
      <alignment horizontal="left"/>
    </xf>
    <xf numFmtId="0" fontId="0" fillId="4" borderId="0" xfId="0" applyFill="1" applyAlignment="1">
      <alignment horizontal="left"/>
    </xf>
    <xf numFmtId="0" fontId="0" fillId="4" borderId="0" xfId="0" quotePrefix="1" applyFill="1" applyAlignment="1">
      <alignment horizontal="left"/>
    </xf>
    <xf numFmtId="165" fontId="0" fillId="4" borderId="0" xfId="0" quotePrefix="1" applyNumberFormat="1" applyFill="1" applyAlignment="1">
      <alignment horizontal="left"/>
    </xf>
    <xf numFmtId="166" fontId="0" fillId="4" borderId="0" xfId="0" quotePrefix="1" applyNumberFormat="1" applyFill="1" applyAlignment="1">
      <alignment horizontal="left"/>
    </xf>
    <xf numFmtId="165" fontId="0" fillId="0" borderId="0" xfId="0" applyNumberFormat="1" applyAlignment="1">
      <alignment horizontal="left"/>
    </xf>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9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ustomXml" Target="../customXml/item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15"/>
  <sheetViews>
    <sheetView showGridLines="0" topLeftCell="B1" zoomScale="90" zoomScaleNormal="90" workbookViewId="0">
      <selection activeCell="F15" sqref="F15"/>
    </sheetView>
  </sheetViews>
  <sheetFormatPr defaultRowHeight="14.4" x14ac:dyDescent="0.3"/>
  <cols>
    <col min="1" max="1" width="22.6640625" customWidth="1"/>
    <col min="2" max="2" width="27.44140625" style="54" bestFit="1" customWidth="1"/>
    <col min="3" max="3" width="30.33203125" style="54" bestFit="1" customWidth="1"/>
    <col min="4" max="4" width="14.109375" style="54" bestFit="1" customWidth="1"/>
    <col min="5" max="5" width="12.6640625" style="54" bestFit="1" customWidth="1"/>
    <col min="6" max="6" width="21.5546875" style="54" bestFit="1" customWidth="1"/>
    <col min="7" max="7" width="21.5546875" style="54" customWidth="1"/>
    <col min="8" max="8" width="55.109375" style="54" bestFit="1" customWidth="1"/>
    <col min="9" max="9" width="11" bestFit="1" customWidth="1"/>
    <col min="10" max="10" width="12" bestFit="1" customWidth="1"/>
    <col min="11" max="11" width="37.6640625" bestFit="1" customWidth="1"/>
    <col min="12" max="12" width="22.109375" bestFit="1" customWidth="1"/>
    <col min="13" max="13" width="28.109375" bestFit="1" customWidth="1"/>
    <col min="14" max="14" width="29.33203125" bestFit="1" customWidth="1"/>
  </cols>
  <sheetData>
    <row r="1" spans="1:15" s="66" customFormat="1" x14ac:dyDescent="0.3">
      <c r="B1" s="67"/>
      <c r="C1" s="67" t="s">
        <v>72</v>
      </c>
      <c r="D1" s="67" t="s">
        <v>73</v>
      </c>
      <c r="E1" s="67" t="s">
        <v>74</v>
      </c>
      <c r="F1" s="67" t="s">
        <v>97</v>
      </c>
      <c r="G1" s="67"/>
      <c r="H1" s="67" t="s">
        <v>75</v>
      </c>
      <c r="I1" s="67" t="s">
        <v>96</v>
      </c>
      <c r="J1" s="67" t="s">
        <v>98</v>
      </c>
      <c r="K1" s="67" t="s">
        <v>99</v>
      </c>
      <c r="L1" s="67" t="s">
        <v>100</v>
      </c>
      <c r="M1" s="67" t="s">
        <v>101</v>
      </c>
      <c r="N1" s="67" t="s">
        <v>102</v>
      </c>
      <c r="O1" s="66" t="s">
        <v>110</v>
      </c>
    </row>
    <row r="2" spans="1:15" x14ac:dyDescent="0.3">
      <c r="K2" s="55"/>
      <c r="L2" s="55"/>
      <c r="M2" s="54"/>
      <c r="N2" s="55"/>
    </row>
    <row r="3" spans="1:15" s="49" customFormat="1" x14ac:dyDescent="0.3">
      <c r="A3" s="49" t="s">
        <v>43</v>
      </c>
      <c r="B3" s="64" t="s">
        <v>95</v>
      </c>
      <c r="C3" s="64" t="s">
        <v>94</v>
      </c>
      <c r="D3" s="64" t="s">
        <v>93</v>
      </c>
      <c r="E3" s="64" t="s">
        <v>92</v>
      </c>
      <c r="F3" s="64" t="s">
        <v>42</v>
      </c>
      <c r="G3" s="64" t="s">
        <v>103</v>
      </c>
      <c r="H3" s="64" t="s">
        <v>91</v>
      </c>
      <c r="I3" s="49" t="s">
        <v>32</v>
      </c>
      <c r="J3" s="49" t="s">
        <v>37</v>
      </c>
      <c r="K3" s="65" t="s">
        <v>41</v>
      </c>
      <c r="L3" s="65" t="s">
        <v>70</v>
      </c>
      <c r="M3" s="64" t="s">
        <v>85</v>
      </c>
      <c r="N3" s="65" t="s">
        <v>71</v>
      </c>
    </row>
    <row r="4" spans="1:15" x14ac:dyDescent="0.3">
      <c r="B4" s="54" t="s">
        <v>104</v>
      </c>
      <c r="C4" s="55" t="str">
        <f ca="1">INDIRECT("'"&amp;$B4&amp;"'!"&amp;C$1)</f>
        <v>Single Family: New Construction</v>
      </c>
      <c r="D4" s="55" t="str">
        <f ca="1">INDIRECT("'"&amp;$B4&amp;"'!"&amp;D$1)</f>
        <v>Gas Option</v>
      </c>
      <c r="E4" s="56">
        <f ca="1">INDIRECT("'"&amp;$B4&amp;"'!"&amp;E$1)</f>
        <v>3</v>
      </c>
      <c r="F4" s="57">
        <f ca="1">INDIRECT("'"&amp;$B4&amp;"'!"&amp;F$1)</f>
        <v>4305.9868649</v>
      </c>
      <c r="G4" s="57">
        <f ca="1">F4/1</f>
        <v>4305.9868649</v>
      </c>
      <c r="H4" s="55" t="str">
        <f ca="1">INDIRECT("'"&amp;$B4&amp;"'!"&amp;H$1)</f>
        <v>190 kBtu/h, 0.81 UEF (0.82 EF) gas tankless in garage</v>
      </c>
      <c r="I4" s="55">
        <f t="shared" ref="I4:O5" ca="1" si="0">INDIRECT("'"&amp;$B4&amp;"'!"&amp;I$1)</f>
        <v>0</v>
      </c>
      <c r="J4" s="55">
        <f t="shared" ca="1" si="0"/>
        <v>3750.9868649</v>
      </c>
      <c r="K4" s="55">
        <f t="shared" ca="1" si="0"/>
        <v>338</v>
      </c>
      <c r="L4" s="55">
        <f t="shared" ca="1" si="0"/>
        <v>164</v>
      </c>
      <c r="M4" s="55">
        <f t="shared" ca="1" si="0"/>
        <v>53</v>
      </c>
      <c r="N4" s="55">
        <f t="shared" ca="1" si="0"/>
        <v>0</v>
      </c>
      <c r="O4" s="55">
        <f t="shared" ca="1" si="0"/>
        <v>1200</v>
      </c>
    </row>
    <row r="5" spans="1:15" x14ac:dyDescent="0.3">
      <c r="B5" s="54" t="s">
        <v>105</v>
      </c>
      <c r="C5" s="55" t="str">
        <f t="shared" ref="C5:O9" ca="1" si="1">INDIRECT("'"&amp;$B5&amp;"'!"&amp;C$1)</f>
        <v>Single Family: New Construction</v>
      </c>
      <c r="D5" s="55" t="str">
        <f t="shared" ref="D5:H5" ca="1" si="2">INDIRECT("'"&amp;$B5&amp;"'!"&amp;D$1)</f>
        <v>Electric Option</v>
      </c>
      <c r="E5" s="56">
        <f t="shared" ca="1" si="2"/>
        <v>3</v>
      </c>
      <c r="F5" s="57">
        <f t="shared" ca="1" si="2"/>
        <v>3577.8596612800002</v>
      </c>
      <c r="G5" s="57">
        <f t="shared" ref="G5:G9" ca="1" si="3">F5/1</f>
        <v>3577.8596612800002</v>
      </c>
      <c r="H5" s="55" t="str">
        <f t="shared" ca="1" si="2"/>
        <v>80gal heat pump water heater in garage 3.0 UEF, NEEA Tier 3</v>
      </c>
      <c r="I5" s="55">
        <f t="shared" ca="1" si="0"/>
        <v>0</v>
      </c>
      <c r="J5" s="55">
        <f t="shared" ca="1" si="0"/>
        <v>3116.8596612800002</v>
      </c>
      <c r="K5" s="55">
        <f t="shared" ca="1" si="0"/>
        <v>281</v>
      </c>
      <c r="L5" s="55">
        <f t="shared" ca="1" si="0"/>
        <v>136</v>
      </c>
      <c r="M5" s="55">
        <f t="shared" ca="1" si="0"/>
        <v>44</v>
      </c>
      <c r="N5" s="55">
        <f t="shared" ca="1" si="0"/>
        <v>0</v>
      </c>
      <c r="O5" s="55">
        <f t="shared" ca="1" si="0"/>
        <v>1500</v>
      </c>
    </row>
    <row r="6" spans="1:15" x14ac:dyDescent="0.3">
      <c r="B6" s="54" t="s">
        <v>106</v>
      </c>
      <c r="C6" s="55" t="str">
        <f t="shared" ref="C6:F7" ca="1" si="4">INDIRECT("'"&amp;$B6&amp;"'!"&amp;C$1)</f>
        <v>Single Family: New Construction</v>
      </c>
      <c r="D6" s="55" t="str">
        <f t="shared" ca="1" si="4"/>
        <v>Electric Option</v>
      </c>
      <c r="E6" s="56">
        <f t="shared" ca="1" si="4"/>
        <v>3</v>
      </c>
      <c r="F6" s="57">
        <f t="shared" ca="1" si="4"/>
        <v>4266.8596612800002</v>
      </c>
      <c r="G6" s="57">
        <f ca="1">F6/1</f>
        <v>4266.8596612800002</v>
      </c>
      <c r="H6" s="55" t="str">
        <f t="shared" ref="H6:O7" ca="1" si="5">INDIRECT("'"&amp;$B6&amp;"'!"&amp;H$1)</f>
        <v>80gal heat pump water heater in garage 3.4 UEF, NEEA Tier 3</v>
      </c>
      <c r="I6" s="55">
        <f t="shared" ca="1" si="5"/>
        <v>0</v>
      </c>
      <c r="J6" s="55">
        <f t="shared" ca="1" si="5"/>
        <v>3716.8596612800002</v>
      </c>
      <c r="K6" s="55">
        <f t="shared" ca="1" si="5"/>
        <v>335</v>
      </c>
      <c r="L6" s="55">
        <f t="shared" ca="1" si="5"/>
        <v>162</v>
      </c>
      <c r="M6" s="55">
        <f t="shared" ca="1" si="5"/>
        <v>53</v>
      </c>
      <c r="N6" s="55">
        <f t="shared" ca="1" si="5"/>
        <v>0</v>
      </c>
      <c r="O6" s="55">
        <f t="shared" ca="1" si="5"/>
        <v>2100</v>
      </c>
    </row>
    <row r="7" spans="1:15" x14ac:dyDescent="0.3">
      <c r="B7" s="71" t="s">
        <v>111</v>
      </c>
      <c r="C7" s="72" t="str">
        <f t="shared" ca="1" si="4"/>
        <v>Single Family: New Construction</v>
      </c>
      <c r="D7" s="72" t="str">
        <f t="shared" ca="1" si="4"/>
        <v>Electric Option</v>
      </c>
      <c r="E7" s="73">
        <f t="shared" ca="1" si="4"/>
        <v>3</v>
      </c>
      <c r="F7" s="74">
        <f t="shared" ca="1" si="4"/>
        <v>2544.8596612799997</v>
      </c>
      <c r="G7" s="74">
        <f ca="1">F7/1</f>
        <v>2544.8596612799997</v>
      </c>
      <c r="H7" s="72" t="str">
        <f t="shared" ca="1" si="5"/>
        <v>50gal 0.92 UEF electric resistance water heater in garage</v>
      </c>
      <c r="I7" s="72">
        <f t="shared" ca="1" si="5"/>
        <v>0</v>
      </c>
      <c r="J7" s="72">
        <f t="shared" ca="1" si="5"/>
        <v>2216.8596612799997</v>
      </c>
      <c r="K7" s="72">
        <f t="shared" ca="1" si="5"/>
        <v>200</v>
      </c>
      <c r="L7" s="72">
        <f t="shared" ca="1" si="5"/>
        <v>97</v>
      </c>
      <c r="M7" s="72">
        <f t="shared" ca="1" si="5"/>
        <v>31</v>
      </c>
      <c r="N7" s="72">
        <f t="shared" ca="1" si="5"/>
        <v>0</v>
      </c>
      <c r="O7" s="72">
        <f t="shared" ca="1" si="5"/>
        <v>600</v>
      </c>
    </row>
    <row r="8" spans="1:15" x14ac:dyDescent="0.3">
      <c r="B8" s="54" t="s">
        <v>81</v>
      </c>
      <c r="C8" s="55" t="str">
        <f t="shared" ca="1" si="1"/>
        <v>Single Family: New Construction</v>
      </c>
      <c r="D8" s="55" t="str">
        <f t="shared" ca="1" si="1"/>
        <v>Gas Option</v>
      </c>
      <c r="E8" s="55">
        <f t="shared" ca="1" si="1"/>
        <v>9</v>
      </c>
      <c r="F8" s="57">
        <f t="shared" ca="1" si="1"/>
        <v>4362.9868649</v>
      </c>
      <c r="G8" s="57">
        <f t="shared" ca="1" si="3"/>
        <v>4362.9868649</v>
      </c>
      <c r="H8" s="55" t="str">
        <f t="shared" ca="1" si="1"/>
        <v>190 kBtu/h, 0.81 UEF (0.82 EF) gas tankless in garage</v>
      </c>
      <c r="I8" s="55">
        <f t="shared" ca="1" si="1"/>
        <v>0</v>
      </c>
      <c r="J8" s="55">
        <f t="shared" ca="1" si="1"/>
        <v>3800.9868649</v>
      </c>
      <c r="K8" s="55">
        <f t="shared" ca="1" si="1"/>
        <v>342</v>
      </c>
      <c r="L8" s="55">
        <f t="shared" ca="1" si="1"/>
        <v>166</v>
      </c>
      <c r="M8" s="55">
        <f t="shared" ca="1" si="1"/>
        <v>54</v>
      </c>
      <c r="N8" s="55">
        <f t="shared" ca="1" si="1"/>
        <v>0</v>
      </c>
      <c r="O8" s="55">
        <f t="shared" ca="1" si="1"/>
        <v>1200</v>
      </c>
    </row>
    <row r="9" spans="1:15" x14ac:dyDescent="0.3">
      <c r="B9" s="68" t="s">
        <v>107</v>
      </c>
      <c r="C9" s="69" t="str">
        <f t="shared" ca="1" si="1"/>
        <v>Single Family: New Construction</v>
      </c>
      <c r="D9" s="69" t="str">
        <f t="shared" ca="1" si="1"/>
        <v>Gas Option</v>
      </c>
      <c r="E9" s="69">
        <f t="shared" ca="1" si="1"/>
        <v>12</v>
      </c>
      <c r="F9" s="70">
        <f t="shared" ca="1" si="1"/>
        <v>3747.9868649</v>
      </c>
      <c r="G9" s="70">
        <f t="shared" ca="1" si="3"/>
        <v>3747.9868649</v>
      </c>
      <c r="H9" s="69" t="str">
        <f t="shared" ca="1" si="1"/>
        <v>50gal, 0.63 UEF (0.60 EF) gas storage in garage</v>
      </c>
      <c r="I9" s="69">
        <f t="shared" ca="1" si="1"/>
        <v>0</v>
      </c>
      <c r="J9" s="69">
        <f t="shared" ca="1" si="1"/>
        <v>3265.9868649</v>
      </c>
      <c r="K9" s="69">
        <f t="shared" ca="1" si="1"/>
        <v>294</v>
      </c>
      <c r="L9" s="69">
        <f t="shared" ca="1" si="1"/>
        <v>142</v>
      </c>
      <c r="M9" s="69">
        <f t="shared" ca="1" si="1"/>
        <v>46</v>
      </c>
      <c r="N9" s="69">
        <f t="shared" ca="1" si="1"/>
        <v>0</v>
      </c>
      <c r="O9" s="69">
        <f t="shared" ca="1" si="1"/>
        <v>715</v>
      </c>
    </row>
    <row r="12" spans="1:15" x14ac:dyDescent="0.3">
      <c r="B12" t="s">
        <v>108</v>
      </c>
    </row>
    <row r="13" spans="1:15" x14ac:dyDescent="0.3">
      <c r="B13" t="s">
        <v>109</v>
      </c>
    </row>
    <row r="14" spans="1:15" x14ac:dyDescent="0.3">
      <c r="B14"/>
    </row>
    <row r="15" spans="1:15" x14ac:dyDescent="0.3">
      <c r="B15" s="24"/>
    </row>
  </sheetData>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7"/>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9"/>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8"/>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8"/>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69"/>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0"/>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1"/>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3750.9868649</v>
      </c>
    </row>
    <row r="29" spans="2:8" x14ac:dyDescent="0.3">
      <c r="E29" s="33"/>
      <c r="F29" s="34"/>
      <c r="G29" s="35"/>
      <c r="H29" s="36"/>
    </row>
    <row r="30" spans="2:8" x14ac:dyDescent="0.3">
      <c r="C30" s="24" t="s">
        <v>40</v>
      </c>
      <c r="E30" s="33"/>
      <c r="F30" s="34"/>
      <c r="G30" s="35"/>
      <c r="H30" s="36">
        <f>SUBTOTAL(9,H6:H29)</f>
        <v>3750.9868649</v>
      </c>
    </row>
    <row r="31" spans="2:8" x14ac:dyDescent="0.3">
      <c r="F31" s="19"/>
      <c r="G31" s="25"/>
      <c r="H31" s="27">
        <f t="shared" si="0"/>
        <v>0</v>
      </c>
    </row>
    <row r="32" spans="2:8" x14ac:dyDescent="0.3">
      <c r="B32" s="24" t="s">
        <v>41</v>
      </c>
      <c r="E32" s="50">
        <f>ROUND(VLOOKUP($A$4,zone_lu,5)*0.6,2)</f>
        <v>0.09</v>
      </c>
      <c r="F32" s="19"/>
      <c r="G32" s="25"/>
      <c r="H32" s="27">
        <f>ROUND(H30*E32,0)</f>
        <v>338</v>
      </c>
    </row>
    <row r="33" spans="1:9" x14ac:dyDescent="0.3">
      <c r="E33" s="50"/>
      <c r="F33" s="19"/>
      <c r="G33" s="25"/>
      <c r="H33" s="27"/>
    </row>
    <row r="34" spans="1:9" x14ac:dyDescent="0.3">
      <c r="B34" s="24" t="s">
        <v>70</v>
      </c>
      <c r="E34" s="50">
        <f>ROUND(VLOOKUP($A$4,zone_lu,6)*0.4,2)</f>
        <v>0.04</v>
      </c>
      <c r="F34" s="19"/>
      <c r="G34" s="25"/>
      <c r="H34" s="27">
        <f>ROUND(SUM(H30:H33)*E34,0)</f>
        <v>164</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4305.9868649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c r="H14" s="47" t="s">
        <v>80</v>
      </c>
    </row>
    <row r="15" spans="1:15" ht="28.8" x14ac:dyDescent="0.3">
      <c r="D15" s="12" t="s">
        <v>50</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1616.8596612800002</v>
      </c>
    </row>
    <row r="29" spans="2:8" x14ac:dyDescent="0.3">
      <c r="E29" s="33"/>
      <c r="F29" s="34"/>
      <c r="G29" s="35"/>
      <c r="H29" s="36"/>
    </row>
    <row r="30" spans="2:8" x14ac:dyDescent="0.3">
      <c r="C30" s="24" t="s">
        <v>40</v>
      </c>
      <c r="E30" s="33"/>
      <c r="F30" s="34"/>
      <c r="G30" s="35"/>
      <c r="H30" s="36">
        <f>SUBTOTAL(9,H6:H29)</f>
        <v>1616.8596612800002</v>
      </c>
    </row>
    <row r="31" spans="2:8" x14ac:dyDescent="0.3">
      <c r="F31" s="19"/>
      <c r="G31" s="25"/>
      <c r="H31" s="27">
        <f t="shared" si="0"/>
        <v>0</v>
      </c>
    </row>
    <row r="32" spans="2:8" x14ac:dyDescent="0.3">
      <c r="B32" s="24" t="s">
        <v>41</v>
      </c>
      <c r="E32" s="50">
        <f>ROUND(VLOOKUP($A$4,zone_lu,5)*0.6,2)</f>
        <v>0.09</v>
      </c>
      <c r="F32" s="19"/>
      <c r="G32" s="25"/>
      <c r="H32" s="27">
        <f>ROUND(H30*E32,0)</f>
        <v>146</v>
      </c>
    </row>
    <row r="33" spans="1:9" x14ac:dyDescent="0.3">
      <c r="E33" s="50"/>
      <c r="F33" s="19"/>
      <c r="G33" s="25"/>
      <c r="H33" s="27"/>
    </row>
    <row r="34" spans="1:9" x14ac:dyDescent="0.3">
      <c r="B34" s="24" t="s">
        <v>70</v>
      </c>
      <c r="E34" s="50">
        <f>ROUND(VLOOKUP($A$4,zone_lu,6)*0.4,2)</f>
        <v>0.04</v>
      </c>
      <c r="F34" s="19"/>
      <c r="G34" s="25"/>
      <c r="H34" s="27">
        <f>ROUND(SUM(H30:H33)*E34,0)</f>
        <v>71</v>
      </c>
    </row>
    <row r="35" spans="1:9" x14ac:dyDescent="0.3">
      <c r="E35" s="50"/>
      <c r="F35" s="19"/>
      <c r="G35" s="25"/>
      <c r="H35" s="27"/>
    </row>
    <row r="36" spans="1:9" x14ac:dyDescent="0.3">
      <c r="B36" t="s">
        <v>85</v>
      </c>
      <c r="E36" s="50">
        <f>VLOOKUP($A$4,zone_lu,7)</f>
        <v>1.2500000000000001E-2</v>
      </c>
      <c r="F36" s="19"/>
      <c r="G36" s="25"/>
      <c r="H36" s="27">
        <f>ROUND(SUM(H30:H35)*E36,0)</f>
        <v>23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1856.8596612800002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3:J9"/>
  <sheetViews>
    <sheetView showGridLines="0" zoomScale="90" zoomScaleNormal="90" workbookViewId="0">
      <selection activeCell="B3" sqref="B3"/>
    </sheetView>
  </sheetViews>
  <sheetFormatPr defaultRowHeight="14.4" x14ac:dyDescent="0.3"/>
  <cols>
    <col min="3" max="3" width="39" customWidth="1"/>
  </cols>
  <sheetData>
    <row r="3" spans="2:10" x14ac:dyDescent="0.3">
      <c r="B3" t="s">
        <v>65</v>
      </c>
      <c r="E3" t="s">
        <v>33</v>
      </c>
      <c r="F3" t="s">
        <v>66</v>
      </c>
      <c r="G3" t="s">
        <v>67</v>
      </c>
      <c r="H3" t="s">
        <v>84</v>
      </c>
      <c r="I3" t="s">
        <v>68</v>
      </c>
      <c r="J3" t="s">
        <v>83</v>
      </c>
    </row>
    <row r="4" spans="2:10" x14ac:dyDescent="0.3">
      <c r="B4">
        <v>3</v>
      </c>
      <c r="C4" t="s">
        <v>69</v>
      </c>
      <c r="E4" s="61">
        <v>58.866228829999997</v>
      </c>
      <c r="F4" s="62">
        <v>0.15</v>
      </c>
      <c r="G4" s="62">
        <v>0.1</v>
      </c>
      <c r="H4" s="63">
        <v>1.2500000000000001E-2</v>
      </c>
      <c r="I4" s="62">
        <v>0</v>
      </c>
      <c r="J4" s="62">
        <v>0.18</v>
      </c>
    </row>
    <row r="5" spans="2:10" x14ac:dyDescent="0.3">
      <c r="B5">
        <v>4</v>
      </c>
      <c r="C5" t="s">
        <v>69</v>
      </c>
      <c r="E5" s="61">
        <v>58.866228829999997</v>
      </c>
      <c r="F5" s="62">
        <v>0.15</v>
      </c>
      <c r="G5" s="62">
        <v>0.1</v>
      </c>
      <c r="H5" s="63">
        <v>1.2500000000000001E-2</v>
      </c>
      <c r="I5" s="62">
        <v>0</v>
      </c>
      <c r="J5" s="62">
        <v>0.18</v>
      </c>
    </row>
    <row r="6" spans="2:10" x14ac:dyDescent="0.3">
      <c r="B6">
        <v>6</v>
      </c>
      <c r="C6" t="s">
        <v>69</v>
      </c>
      <c r="E6" s="61">
        <v>58.866228829999997</v>
      </c>
      <c r="F6" s="62">
        <v>0.15</v>
      </c>
      <c r="G6" s="62">
        <v>0.1</v>
      </c>
      <c r="H6" s="63">
        <v>1.2500000000000001E-2</v>
      </c>
      <c r="I6" s="62">
        <v>0</v>
      </c>
      <c r="J6" s="62">
        <v>0.18</v>
      </c>
    </row>
    <row r="7" spans="2:10" x14ac:dyDescent="0.3">
      <c r="B7">
        <v>9</v>
      </c>
      <c r="C7" t="s">
        <v>69</v>
      </c>
      <c r="E7" s="61">
        <v>58.866228829999997</v>
      </c>
      <c r="F7" s="62">
        <v>0.15</v>
      </c>
      <c r="G7" s="62">
        <v>0.1</v>
      </c>
      <c r="H7" s="63">
        <v>1.2500000000000001E-2</v>
      </c>
      <c r="I7" s="62">
        <v>0</v>
      </c>
      <c r="J7" s="62">
        <v>0.18</v>
      </c>
    </row>
    <row r="8" spans="2:10" x14ac:dyDescent="0.3">
      <c r="B8">
        <v>10</v>
      </c>
      <c r="C8" t="s">
        <v>69</v>
      </c>
      <c r="E8" s="61">
        <v>58.866228829999997</v>
      </c>
      <c r="F8" s="62">
        <v>0.15</v>
      </c>
      <c r="G8" s="62">
        <v>0.1</v>
      </c>
      <c r="H8" s="63">
        <v>1.2500000000000001E-2</v>
      </c>
      <c r="I8" s="62">
        <v>0</v>
      </c>
      <c r="J8" s="62">
        <v>0.18</v>
      </c>
    </row>
    <row r="9" spans="2:10" x14ac:dyDescent="0.3">
      <c r="B9">
        <v>12</v>
      </c>
      <c r="C9" t="s">
        <v>69</v>
      </c>
      <c r="E9" s="61">
        <v>58.866228829999997</v>
      </c>
      <c r="F9" s="62">
        <v>0.15</v>
      </c>
      <c r="G9" s="62">
        <v>0.1</v>
      </c>
      <c r="H9" s="63">
        <v>1.2500000000000001E-2</v>
      </c>
      <c r="I9" s="62">
        <v>0</v>
      </c>
      <c r="J9" s="62">
        <v>0.18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3"/>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4"/>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5"/>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6"/>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7"/>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4</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3750.9868649</v>
      </c>
    </row>
    <row r="29" spans="2:8" x14ac:dyDescent="0.3">
      <c r="E29" s="33"/>
      <c r="F29" s="34"/>
      <c r="G29" s="35"/>
      <c r="H29" s="36"/>
    </row>
    <row r="30" spans="2:8" x14ac:dyDescent="0.3">
      <c r="C30" s="24" t="s">
        <v>40</v>
      </c>
      <c r="E30" s="33"/>
      <c r="F30" s="34"/>
      <c r="G30" s="35"/>
      <c r="H30" s="36">
        <f>SUBTOTAL(9,H6:H29)</f>
        <v>3750.9868649</v>
      </c>
    </row>
    <row r="31" spans="2:8" x14ac:dyDescent="0.3">
      <c r="F31" s="19"/>
      <c r="G31" s="25"/>
      <c r="H31" s="27">
        <f t="shared" si="0"/>
        <v>0</v>
      </c>
    </row>
    <row r="32" spans="2:8" x14ac:dyDescent="0.3">
      <c r="B32" s="24" t="s">
        <v>41</v>
      </c>
      <c r="E32" s="50">
        <f>ROUND(VLOOKUP($A$4,zone_lu,5)*0.6,2)</f>
        <v>0.09</v>
      </c>
      <c r="F32" s="19"/>
      <c r="G32" s="25"/>
      <c r="H32" s="27">
        <f>ROUND(H30*E32,0)</f>
        <v>338</v>
      </c>
    </row>
    <row r="33" spans="1:9" x14ac:dyDescent="0.3">
      <c r="E33" s="50"/>
      <c r="F33" s="19"/>
      <c r="G33" s="25"/>
      <c r="H33" s="27"/>
    </row>
    <row r="34" spans="1:9" x14ac:dyDescent="0.3">
      <c r="B34" s="24" t="s">
        <v>70</v>
      </c>
      <c r="E34" s="50">
        <f>ROUND(VLOOKUP($A$4,zone_lu,6)*0.4,2)</f>
        <v>0.04</v>
      </c>
      <c r="F34" s="19"/>
      <c r="G34" s="25"/>
      <c r="H34" s="27">
        <f>ROUND(SUM(H30:H33)*E34,0)</f>
        <v>164</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4305.9868649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70103-CEAA-497E-8FDF-D3A69A5EFE66}">
  <sheetPr codeName="Sheet4">
    <tabColor theme="7" tint="0.79998168889431442"/>
  </sheetPr>
  <dimension ref="A1:O47"/>
  <sheetViews>
    <sheetView showGridLines="0" topLeftCell="A13" zoomScale="90" zoomScaleNormal="90" workbookViewId="0">
      <selection activeCell="I38" sqref="I3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60">
        <f>'SF 90 Gas WH Z12'!G14</f>
        <v>715</v>
      </c>
      <c r="H14" s="27">
        <f t="shared" si="0"/>
        <v>715</v>
      </c>
    </row>
    <row r="15" spans="1:15" ht="28.8" x14ac:dyDescent="0.3">
      <c r="D15" s="59" t="str">
        <f>'SF 90 Gas WH Z12'!D15</f>
        <v>50gal, 0.63 UEF (0.60 EF) gas storage in garage</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3265.9868649</v>
      </c>
    </row>
    <row r="29" spans="2:8" x14ac:dyDescent="0.3">
      <c r="E29" s="33"/>
      <c r="F29" s="34"/>
      <c r="G29" s="35"/>
      <c r="H29" s="36"/>
    </row>
    <row r="30" spans="2:8" x14ac:dyDescent="0.3">
      <c r="C30" s="24" t="s">
        <v>40</v>
      </c>
      <c r="E30" s="33"/>
      <c r="F30" s="34"/>
      <c r="G30" s="35"/>
      <c r="H30" s="36">
        <f>SUBTOTAL(9,H6:H29)</f>
        <v>3265.9868649</v>
      </c>
    </row>
    <row r="31" spans="2:8" x14ac:dyDescent="0.3">
      <c r="F31" s="19"/>
      <c r="G31" s="25"/>
      <c r="H31" s="27">
        <f t="shared" si="0"/>
        <v>0</v>
      </c>
    </row>
    <row r="32" spans="2:8" x14ac:dyDescent="0.3">
      <c r="B32" s="24" t="s">
        <v>41</v>
      </c>
      <c r="E32" s="50">
        <f>ROUND(VLOOKUP($A$4,zone_lu,5)*0.6,2)</f>
        <v>0.09</v>
      </c>
      <c r="F32" s="19"/>
      <c r="G32" s="25"/>
      <c r="H32" s="27">
        <f>ROUND(H30*E32,0)</f>
        <v>294</v>
      </c>
    </row>
    <row r="33" spans="1:9" x14ac:dyDescent="0.3">
      <c r="E33" s="50"/>
      <c r="F33" s="19"/>
      <c r="G33" s="25"/>
      <c r="H33" s="27"/>
    </row>
    <row r="34" spans="1:9" x14ac:dyDescent="0.3">
      <c r="B34" s="24" t="s">
        <v>70</v>
      </c>
      <c r="E34" s="50">
        <f>ROUND(VLOOKUP($A$4,zone_lu,6)*0.4,2)</f>
        <v>0.04</v>
      </c>
      <c r="F34" s="19"/>
      <c r="G34" s="25"/>
      <c r="H34" s="27">
        <f>ROUND(SUM(H30:H33)*E34,0)</f>
        <v>142</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3747.9868649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c r="H14" s="47" t="s">
        <v>80</v>
      </c>
    </row>
    <row r="15" spans="1:15" ht="28.8" x14ac:dyDescent="0.3">
      <c r="D15" s="12" t="s">
        <v>50</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1616.8596612800002</v>
      </c>
    </row>
    <row r="29" spans="2:8" x14ac:dyDescent="0.3">
      <c r="E29" s="33"/>
      <c r="F29" s="34"/>
      <c r="G29" s="35"/>
      <c r="H29" s="36"/>
    </row>
    <row r="30" spans="2:8" x14ac:dyDescent="0.3">
      <c r="C30" s="24" t="s">
        <v>40</v>
      </c>
      <c r="E30" s="33"/>
      <c r="F30" s="34"/>
      <c r="G30" s="35"/>
      <c r="H30" s="36">
        <f>SUBTOTAL(9,H6:H29)</f>
        <v>1616.8596612800002</v>
      </c>
    </row>
    <row r="31" spans="2:8" x14ac:dyDescent="0.3">
      <c r="F31" s="19"/>
      <c r="G31" s="25"/>
      <c r="H31" s="27">
        <f t="shared" si="0"/>
        <v>0</v>
      </c>
    </row>
    <row r="32" spans="2:8" x14ac:dyDescent="0.3">
      <c r="B32" s="24" t="s">
        <v>41</v>
      </c>
      <c r="E32" s="50">
        <f>ROUND(VLOOKUP($A$4,zone_lu,5)*0.6,2)</f>
        <v>0.09</v>
      </c>
      <c r="F32" s="19"/>
      <c r="G32" s="25"/>
      <c r="H32" s="27">
        <f>ROUND(H30*E32,0)</f>
        <v>146</v>
      </c>
    </row>
    <row r="33" spans="1:9" x14ac:dyDescent="0.3">
      <c r="E33" s="50"/>
      <c r="F33" s="19"/>
      <c r="G33" s="25"/>
      <c r="H33" s="27"/>
    </row>
    <row r="34" spans="1:9" x14ac:dyDescent="0.3">
      <c r="B34" s="24" t="s">
        <v>70</v>
      </c>
      <c r="E34" s="50">
        <f>ROUND(VLOOKUP($A$4,zone_lu,6)*0.4,2)</f>
        <v>0.04</v>
      </c>
      <c r="F34" s="19"/>
      <c r="G34" s="25"/>
      <c r="H34" s="27">
        <f>ROUND(SUM(H30:H33)*E34,0)</f>
        <v>71</v>
      </c>
    </row>
    <row r="35" spans="1:9" x14ac:dyDescent="0.3">
      <c r="E35" s="50"/>
      <c r="F35" s="19"/>
      <c r="G35" s="25"/>
      <c r="H35" s="27"/>
    </row>
    <row r="36" spans="1:9" x14ac:dyDescent="0.3">
      <c r="B36" t="s">
        <v>85</v>
      </c>
      <c r="E36" s="50">
        <f>VLOOKUP($A$4,zone_lu,7)</f>
        <v>1.2500000000000001E-2</v>
      </c>
      <c r="F36" s="19"/>
      <c r="G36" s="25"/>
      <c r="H36" s="27">
        <f>ROUND(SUM(H30:H35)*E36,0)</f>
        <v>23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1856.8596612800002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3"/>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4"/>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5"/>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26"/>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27"/>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2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5">
    <tabColor rgb="FFFFC000"/>
  </sheetPr>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6</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6CBB7-2E2E-4C89-88D9-87892BD1B039}">
  <dimension ref="A1:O47"/>
  <sheetViews>
    <sheetView showGridLines="0" tabSelected="1" zoomScale="90" zoomScaleNormal="90" workbookViewId="0">
      <selection activeCell="D16" sqref="D16"/>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c r="F8" s="19"/>
      <c r="G8" s="4"/>
      <c r="H8" s="48" t="s">
        <v>82</v>
      </c>
    </row>
    <row r="9" spans="1:15" x14ac:dyDescent="0.3">
      <c r="D9" s="24" t="s">
        <v>35</v>
      </c>
      <c r="E9"/>
      <c r="F9" s="19"/>
      <c r="G9" s="4"/>
      <c r="H9" s="6"/>
    </row>
    <row r="10" spans="1:15" x14ac:dyDescent="0.3">
      <c r="E10"/>
      <c r="F10" s="19"/>
      <c r="G10" s="6"/>
      <c r="H10" s="6"/>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600</v>
      </c>
      <c r="H14" s="27">
        <f>E14*G14</f>
        <v>600</v>
      </c>
    </row>
    <row r="15" spans="1:15" ht="28.8" x14ac:dyDescent="0.3">
      <c r="D15" s="12" t="s">
        <v>112</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2216.8596612799997</v>
      </c>
    </row>
    <row r="29" spans="2:8" x14ac:dyDescent="0.3">
      <c r="E29" s="33"/>
      <c r="F29" s="34"/>
      <c r="G29" s="35"/>
      <c r="H29" s="36"/>
    </row>
    <row r="30" spans="2:8" x14ac:dyDescent="0.3">
      <c r="C30" s="24" t="s">
        <v>40</v>
      </c>
      <c r="E30" s="33"/>
      <c r="F30" s="34"/>
      <c r="G30" s="35"/>
      <c r="H30" s="36">
        <f>SUBTOTAL(9,H6:H29)</f>
        <v>2216.8596612799997</v>
      </c>
    </row>
    <row r="31" spans="2:8" x14ac:dyDescent="0.3">
      <c r="F31" s="19"/>
      <c r="G31" s="25"/>
      <c r="H31" s="27">
        <f t="shared" si="0"/>
        <v>0</v>
      </c>
    </row>
    <row r="32" spans="2:8" x14ac:dyDescent="0.3">
      <c r="B32" s="24" t="s">
        <v>41</v>
      </c>
      <c r="E32" s="50">
        <f>ROUND(VLOOKUP($A$4,zone_lu,5)*0.6,2)</f>
        <v>0.09</v>
      </c>
      <c r="F32" s="19"/>
      <c r="G32" s="25"/>
      <c r="H32" s="27">
        <f>ROUND(H30*E32,0)</f>
        <v>200</v>
      </c>
    </row>
    <row r="33" spans="1:9" x14ac:dyDescent="0.3">
      <c r="E33" s="50"/>
      <c r="F33" s="19"/>
      <c r="G33" s="25"/>
      <c r="H33" s="27"/>
    </row>
    <row r="34" spans="1:9" x14ac:dyDescent="0.3">
      <c r="B34" s="24" t="s">
        <v>70</v>
      </c>
      <c r="E34" s="50">
        <f>ROUND(VLOOKUP($A$4,zone_lu,6)*0.4,2)</f>
        <v>0.04</v>
      </c>
      <c r="F34" s="19"/>
      <c r="G34" s="25"/>
      <c r="H34" s="27">
        <f>ROUND(SUM(H30:H33)*E34,0)</f>
        <v>97</v>
      </c>
    </row>
    <row r="35" spans="1:9" x14ac:dyDescent="0.3">
      <c r="E35" s="50"/>
      <c r="F35" s="19"/>
      <c r="G35" s="25"/>
      <c r="H35" s="27"/>
    </row>
    <row r="36" spans="1:9" x14ac:dyDescent="0.3">
      <c r="B36" t="s">
        <v>85</v>
      </c>
      <c r="E36" s="50">
        <f>VLOOKUP($A$4,zone_lu,7)</f>
        <v>1.2500000000000001E-2</v>
      </c>
      <c r="F36" s="19"/>
      <c r="G36" s="25"/>
      <c r="H36" s="27">
        <f>ROUND(SUM(H30:H35)*E36,0)</f>
        <v>31</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2544.8596612799997</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9" x14ac:dyDescent="0.3">
      <c r="D17" s="24" t="s">
        <v>33</v>
      </c>
      <c r="E17" s="24">
        <v>12</v>
      </c>
      <c r="F17" s="19" t="s">
        <v>34</v>
      </c>
      <c r="G17" s="25">
        <f>VLOOKUP($A$4,zone_lu,4)</f>
        <v>58.866228829999997</v>
      </c>
      <c r="H17" s="27">
        <f t="shared" si="0"/>
        <v>706.39474595999991</v>
      </c>
    </row>
    <row r="18" spans="2:9" x14ac:dyDescent="0.3">
      <c r="C18" s="24" t="s">
        <v>48</v>
      </c>
      <c r="F18" s="19"/>
      <c r="G18" s="25"/>
      <c r="H18" s="27">
        <f t="shared" si="0"/>
        <v>0</v>
      </c>
    </row>
    <row r="19" spans="2:9" x14ac:dyDescent="0.3">
      <c r="D19" s="24" t="s">
        <v>78</v>
      </c>
      <c r="F19" s="19"/>
      <c r="G19" s="25"/>
      <c r="H19" s="27"/>
    </row>
    <row r="20" spans="2:9" ht="28.8" x14ac:dyDescent="0.3">
      <c r="D20" s="45" t="s">
        <v>76</v>
      </c>
      <c r="E20" s="24">
        <v>1</v>
      </c>
      <c r="F20" s="19" t="s">
        <v>36</v>
      </c>
      <c r="G20" s="25">
        <v>400</v>
      </c>
      <c r="H20" s="27">
        <f t="shared" si="0"/>
        <v>400</v>
      </c>
    </row>
    <row r="21" spans="2:9" x14ac:dyDescent="0.3">
      <c r="D21" s="46" t="s">
        <v>77</v>
      </c>
      <c r="E21" s="24">
        <v>1</v>
      </c>
      <c r="F21" s="19" t="s">
        <v>36</v>
      </c>
      <c r="G21" s="25">
        <v>200</v>
      </c>
      <c r="H21" s="27">
        <f t="shared" si="0"/>
        <v>200</v>
      </c>
    </row>
    <row r="22" spans="2:9" x14ac:dyDescent="0.3">
      <c r="D22" s="24" t="s">
        <v>33</v>
      </c>
      <c r="E22" s="24">
        <v>2</v>
      </c>
      <c r="F22" s="19" t="s">
        <v>34</v>
      </c>
      <c r="G22" s="25">
        <f>VLOOKUP($A$4,zone_lu,4)</f>
        <v>58.866228829999997</v>
      </c>
      <c r="H22" s="27">
        <f t="shared" si="0"/>
        <v>117.73245765999999</v>
      </c>
    </row>
    <row r="23" spans="2:9" x14ac:dyDescent="0.3">
      <c r="C23" t="s">
        <v>86</v>
      </c>
      <c r="D23"/>
      <c r="E23"/>
      <c r="F23" s="19"/>
      <c r="G23" s="4"/>
      <c r="H23" s="6"/>
    </row>
    <row r="24" spans="2:9" x14ac:dyDescent="0.3">
      <c r="C24"/>
      <c r="D24" t="s">
        <v>87</v>
      </c>
      <c r="E24" s="51">
        <v>1</v>
      </c>
      <c r="F24" s="43" t="s">
        <v>38</v>
      </c>
      <c r="G24" s="58">
        <v>125</v>
      </c>
      <c r="H24" s="52">
        <f t="shared" ref="H24:H27" si="1">E24*G24</f>
        <v>125</v>
      </c>
    </row>
    <row r="25" spans="2:9" x14ac:dyDescent="0.3">
      <c r="C25"/>
      <c r="D25" t="s">
        <v>88</v>
      </c>
      <c r="E25" s="51"/>
      <c r="F25" s="43"/>
      <c r="G25" s="11"/>
      <c r="H25" s="53" t="s">
        <v>82</v>
      </c>
    </row>
    <row r="26" spans="2:9" x14ac:dyDescent="0.3">
      <c r="C26"/>
      <c r="D26" t="s">
        <v>89</v>
      </c>
      <c r="E26" s="51">
        <v>20</v>
      </c>
      <c r="F26" s="43" t="s">
        <v>90</v>
      </c>
      <c r="G26" s="11">
        <v>3</v>
      </c>
      <c r="H26" s="53">
        <f>E26*G26</f>
        <v>60</v>
      </c>
      <c r="I26" s="24">
        <v>0</v>
      </c>
    </row>
    <row r="27" spans="2:9" x14ac:dyDescent="0.3">
      <c r="C27"/>
      <c r="D27" t="s">
        <v>33</v>
      </c>
      <c r="E27" s="51">
        <v>16</v>
      </c>
      <c r="F27" s="43" t="s">
        <v>34</v>
      </c>
      <c r="G27" s="11">
        <f>VLOOKUP($A$4,zone_lu,4)</f>
        <v>58.866228829999997</v>
      </c>
      <c r="H27" s="52">
        <f t="shared" si="1"/>
        <v>941.85966127999995</v>
      </c>
      <c r="I27" s="24">
        <v>680</v>
      </c>
    </row>
    <row r="28" spans="2:9" x14ac:dyDescent="0.3">
      <c r="E28" s="28"/>
      <c r="F28" s="29"/>
      <c r="G28" s="30"/>
      <c r="H28" s="31">
        <f>SUBTOTAL(9,H12:H27)</f>
        <v>3800.9868649</v>
      </c>
    </row>
    <row r="29" spans="2:9" x14ac:dyDescent="0.3">
      <c r="E29" s="33"/>
      <c r="F29" s="34"/>
      <c r="G29" s="35"/>
      <c r="H29" s="36"/>
    </row>
    <row r="30" spans="2:9" x14ac:dyDescent="0.3">
      <c r="C30" s="24" t="s">
        <v>40</v>
      </c>
      <c r="E30" s="33"/>
      <c r="F30" s="34"/>
      <c r="G30" s="35"/>
      <c r="H30" s="36">
        <f>SUBTOTAL(9,H6:H29)</f>
        <v>3800.9868649</v>
      </c>
    </row>
    <row r="31" spans="2:9" x14ac:dyDescent="0.3">
      <c r="F31" s="19"/>
      <c r="G31" s="25"/>
      <c r="H31" s="27">
        <f t="shared" si="0"/>
        <v>0</v>
      </c>
    </row>
    <row r="32" spans="2:9" x14ac:dyDescent="0.3">
      <c r="B32" s="24" t="s">
        <v>41</v>
      </c>
      <c r="E32" s="50">
        <f>ROUND(VLOOKUP($A$4,zone_lu,5)*0.6,2)</f>
        <v>0.09</v>
      </c>
      <c r="F32" s="19"/>
      <c r="G32" s="25"/>
      <c r="H32" s="27">
        <f>ROUND(H30*E32,0)</f>
        <v>342</v>
      </c>
    </row>
    <row r="33" spans="1:9" x14ac:dyDescent="0.3">
      <c r="E33" s="50"/>
      <c r="F33" s="19"/>
      <c r="G33" s="25"/>
      <c r="H33" s="27"/>
    </row>
    <row r="34" spans="1:9" x14ac:dyDescent="0.3">
      <c r="B34" s="24" t="s">
        <v>70</v>
      </c>
      <c r="E34" s="50">
        <f>ROUND(VLOOKUP($A$4,zone_lu,6)*0.4,2)</f>
        <v>0.04</v>
      </c>
      <c r="F34" s="19"/>
      <c r="G34" s="25"/>
      <c r="H34" s="27">
        <f>ROUND(SUM(H30:H33)*E34,0)</f>
        <v>166</v>
      </c>
    </row>
    <row r="35" spans="1:9" x14ac:dyDescent="0.3">
      <c r="E35" s="50"/>
      <c r="F35" s="19"/>
      <c r="G35" s="25"/>
      <c r="H35" s="27"/>
    </row>
    <row r="36" spans="1:9" x14ac:dyDescent="0.3">
      <c r="B36" t="s">
        <v>85</v>
      </c>
      <c r="E36" s="50">
        <f>VLOOKUP($A$4,zone_lu,7)</f>
        <v>1.2500000000000001E-2</v>
      </c>
      <c r="F36" s="19"/>
      <c r="G36" s="25"/>
      <c r="H36" s="27">
        <f>ROUND(SUM(H30:H35)*E36,0)</f>
        <v>54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4362.9868649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c r="H14" s="47" t="s">
        <v>80</v>
      </c>
    </row>
    <row r="15" spans="1:15" ht="28.8" x14ac:dyDescent="0.3">
      <c r="D15" s="12" t="s">
        <v>50</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1616.8596612800002</v>
      </c>
    </row>
    <row r="29" spans="2:8" x14ac:dyDescent="0.3">
      <c r="E29" s="33"/>
      <c r="F29" s="34"/>
      <c r="G29" s="35"/>
      <c r="H29" s="36"/>
    </row>
    <row r="30" spans="2:8" x14ac:dyDescent="0.3">
      <c r="C30" s="24" t="s">
        <v>40</v>
      </c>
      <c r="E30" s="33"/>
      <c r="F30" s="34"/>
      <c r="G30" s="35"/>
      <c r="H30" s="36">
        <f>SUBTOTAL(9,H6:H29)</f>
        <v>1616.8596612800002</v>
      </c>
    </row>
    <row r="31" spans="2:8" x14ac:dyDescent="0.3">
      <c r="F31" s="19"/>
      <c r="G31" s="25"/>
      <c r="H31" s="27">
        <f t="shared" si="0"/>
        <v>0</v>
      </c>
    </row>
    <row r="32" spans="2:8" x14ac:dyDescent="0.3">
      <c r="B32" s="24" t="s">
        <v>41</v>
      </c>
      <c r="E32" s="50">
        <f>ROUND(VLOOKUP($A$4,zone_lu,5)*0.6,2)</f>
        <v>0.09</v>
      </c>
      <c r="F32" s="19"/>
      <c r="G32" s="25"/>
      <c r="H32" s="27">
        <f>ROUND(H30*E32,0)</f>
        <v>146</v>
      </c>
    </row>
    <row r="33" spans="1:9" x14ac:dyDescent="0.3">
      <c r="E33" s="50"/>
      <c r="F33" s="19"/>
      <c r="G33" s="25"/>
      <c r="H33" s="27"/>
    </row>
    <row r="34" spans="1:9" x14ac:dyDescent="0.3">
      <c r="B34" s="24" t="s">
        <v>70</v>
      </c>
      <c r="E34" s="50">
        <f>ROUND(VLOOKUP($A$4,zone_lu,6)*0.4,2)</f>
        <v>0.04</v>
      </c>
      <c r="F34" s="19"/>
      <c r="G34" s="25"/>
      <c r="H34" s="27">
        <f>ROUND(SUM(H30:H33)*E34,0)</f>
        <v>71</v>
      </c>
    </row>
    <row r="35" spans="1:9" x14ac:dyDescent="0.3">
      <c r="E35" s="50"/>
      <c r="F35" s="19"/>
      <c r="G35" s="25"/>
      <c r="H35" s="27"/>
    </row>
    <row r="36" spans="1:9" x14ac:dyDescent="0.3">
      <c r="B36" t="s">
        <v>85</v>
      </c>
      <c r="E36" s="50">
        <f>VLOOKUP($A$4,zone_lu,7)</f>
        <v>1.2500000000000001E-2</v>
      </c>
      <c r="F36" s="19"/>
      <c r="G36" s="25"/>
      <c r="H36" s="27">
        <f>ROUND(SUM(H30:H35)*E36,0)</f>
        <v>23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1856.8596612800002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3"/>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34"/>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35"/>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36"/>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37"/>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5:G23"/>
  <sheetViews>
    <sheetView workbookViewId="0"/>
  </sheetViews>
  <sheetFormatPr defaultRowHeight="14.4" x14ac:dyDescent="0.3"/>
  <cols>
    <col min="1" max="2" width="4.6640625" customWidth="1"/>
    <col min="3" max="3" width="17" bestFit="1" customWidth="1"/>
    <col min="4" max="4" width="17.5546875" customWidth="1"/>
    <col min="5" max="5" width="18" customWidth="1"/>
    <col min="6" max="6" width="29.6640625" customWidth="1"/>
  </cols>
  <sheetData>
    <row r="5" spans="1:6" x14ac:dyDescent="0.3">
      <c r="A5" t="s">
        <v>29</v>
      </c>
      <c r="D5" t="s">
        <v>28</v>
      </c>
      <c r="E5" t="s">
        <v>27</v>
      </c>
      <c r="F5" t="s">
        <v>26</v>
      </c>
    </row>
    <row r="6" spans="1:6" x14ac:dyDescent="0.3">
      <c r="B6" t="s">
        <v>25</v>
      </c>
    </row>
    <row r="7" spans="1:6" ht="28.8" x14ac:dyDescent="0.3">
      <c r="C7" t="s">
        <v>4</v>
      </c>
      <c r="D7" s="1" t="s">
        <v>18</v>
      </c>
      <c r="E7" s="1" t="s">
        <v>24</v>
      </c>
      <c r="F7" s="1" t="s">
        <v>22</v>
      </c>
    </row>
    <row r="8" spans="1:6" ht="28.8" x14ac:dyDescent="0.3">
      <c r="C8" t="s">
        <v>15</v>
      </c>
      <c r="D8" s="1" t="s">
        <v>23</v>
      </c>
      <c r="E8" s="1" t="s">
        <v>23</v>
      </c>
      <c r="F8" s="1" t="s">
        <v>22</v>
      </c>
    </row>
    <row r="9" spans="1:6" ht="43.2" x14ac:dyDescent="0.3">
      <c r="C9" s="2" t="s">
        <v>13</v>
      </c>
      <c r="D9" s="1" t="s">
        <v>21</v>
      </c>
      <c r="E9" s="1" t="s">
        <v>21</v>
      </c>
      <c r="F9" s="1" t="s">
        <v>20</v>
      </c>
    </row>
    <row r="10" spans="1:6" x14ac:dyDescent="0.3">
      <c r="B10" t="s">
        <v>19</v>
      </c>
      <c r="D10" s="1"/>
      <c r="E10" s="1"/>
      <c r="F10" s="1"/>
    </row>
    <row r="11" spans="1:6" ht="28.8" x14ac:dyDescent="0.3">
      <c r="C11" t="s">
        <v>4</v>
      </c>
      <c r="D11" s="1" t="s">
        <v>18</v>
      </c>
      <c r="E11" s="1" t="s">
        <v>17</v>
      </c>
      <c r="F11" s="1" t="s">
        <v>16</v>
      </c>
    </row>
    <row r="12" spans="1:6" ht="28.8" x14ac:dyDescent="0.3">
      <c r="C12" t="s">
        <v>15</v>
      </c>
      <c r="D12" s="1" t="s">
        <v>12</v>
      </c>
      <c r="E12" s="1" t="s">
        <v>12</v>
      </c>
      <c r="F12" s="1" t="s">
        <v>14</v>
      </c>
    </row>
    <row r="13" spans="1:6" ht="28.8" x14ac:dyDescent="0.3">
      <c r="C13" s="2" t="s">
        <v>13</v>
      </c>
      <c r="D13" s="1" t="s">
        <v>12</v>
      </c>
      <c r="E13" s="1" t="s">
        <v>12</v>
      </c>
      <c r="F13" s="1" t="s">
        <v>11</v>
      </c>
    </row>
    <row r="14" spans="1:6" x14ac:dyDescent="0.3">
      <c r="B14" t="s">
        <v>10</v>
      </c>
      <c r="D14" s="1"/>
      <c r="E14" s="1"/>
      <c r="F14" s="1"/>
    </row>
    <row r="15" spans="1:6" ht="43.2" x14ac:dyDescent="0.3">
      <c r="C15" t="s">
        <v>4</v>
      </c>
      <c r="D15" s="1"/>
      <c r="E15" s="1" t="s">
        <v>9</v>
      </c>
      <c r="F15" s="1" t="s">
        <v>8</v>
      </c>
    </row>
    <row r="16" spans="1:6" ht="43.2" x14ac:dyDescent="0.3">
      <c r="C16" t="s">
        <v>3</v>
      </c>
      <c r="D16" s="1"/>
      <c r="E16" s="1" t="s">
        <v>9</v>
      </c>
      <c r="F16" s="1" t="s">
        <v>8</v>
      </c>
    </row>
    <row r="21" spans="1:7" x14ac:dyDescent="0.3">
      <c r="A21" t="s">
        <v>7</v>
      </c>
      <c r="F21" t="s">
        <v>6</v>
      </c>
      <c r="G21" t="s">
        <v>5</v>
      </c>
    </row>
    <row r="22" spans="1:7" x14ac:dyDescent="0.3">
      <c r="C22" t="s">
        <v>4</v>
      </c>
      <c r="E22" t="s">
        <v>2</v>
      </c>
      <c r="F22" t="s">
        <v>1</v>
      </c>
      <c r="G22" t="s">
        <v>0</v>
      </c>
    </row>
    <row r="23" spans="1:7" x14ac:dyDescent="0.3">
      <c r="C23" t="s">
        <v>3</v>
      </c>
      <c r="E23" t="s">
        <v>2</v>
      </c>
      <c r="F23" t="s">
        <v>1</v>
      </c>
      <c r="G23" t="s">
        <v>0</v>
      </c>
    </row>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3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9</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3750.9868649</v>
      </c>
    </row>
    <row r="29" spans="2:8" x14ac:dyDescent="0.3">
      <c r="E29" s="33"/>
      <c r="F29" s="34"/>
      <c r="G29" s="35"/>
      <c r="H29" s="36"/>
    </row>
    <row r="30" spans="2:8" x14ac:dyDescent="0.3">
      <c r="C30" s="24" t="s">
        <v>40</v>
      </c>
      <c r="E30" s="33"/>
      <c r="F30" s="34"/>
      <c r="G30" s="35"/>
      <c r="H30" s="36">
        <f>SUBTOTAL(9,H6:H29)</f>
        <v>3750.9868649</v>
      </c>
    </row>
    <row r="31" spans="2:8" x14ac:dyDescent="0.3">
      <c r="F31" s="19"/>
      <c r="G31" s="25"/>
      <c r="H31" s="27">
        <f t="shared" si="0"/>
        <v>0</v>
      </c>
    </row>
    <row r="32" spans="2:8" x14ac:dyDescent="0.3">
      <c r="B32" s="24" t="s">
        <v>41</v>
      </c>
      <c r="E32" s="50">
        <f>ROUND(VLOOKUP($A$4,zone_lu,5)*0.6,2)</f>
        <v>0.09</v>
      </c>
      <c r="F32" s="19"/>
      <c r="G32" s="25"/>
      <c r="H32" s="27">
        <f>ROUND(H30*E32,0)</f>
        <v>338</v>
      </c>
    </row>
    <row r="33" spans="1:9" x14ac:dyDescent="0.3">
      <c r="E33" s="50"/>
      <c r="F33" s="19"/>
      <c r="G33" s="25"/>
      <c r="H33" s="27"/>
    </row>
    <row r="34" spans="1:9" x14ac:dyDescent="0.3">
      <c r="B34" s="24" t="s">
        <v>70</v>
      </c>
      <c r="E34" s="50">
        <f>ROUND(VLOOKUP($A$4,zone_lu,6)*0.4,2)</f>
        <v>0.04</v>
      </c>
      <c r="F34" s="19"/>
      <c r="G34" s="25"/>
      <c r="H34" s="27">
        <f>ROUND(SUM(H30:H33)*E34,0)</f>
        <v>164</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4305.9868649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3"/>
  <dimension ref="A1:O47"/>
  <sheetViews>
    <sheetView showGridLines="0" topLeftCell="A5"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4"/>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c r="H14" s="47" t="s">
        <v>80</v>
      </c>
    </row>
    <row r="15" spans="1:15" ht="28.8" x14ac:dyDescent="0.3">
      <c r="D15" s="12" t="s">
        <v>50</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1616.8596612800002</v>
      </c>
    </row>
    <row r="29" spans="2:8" x14ac:dyDescent="0.3">
      <c r="E29" s="33"/>
      <c r="F29" s="34"/>
      <c r="G29" s="35"/>
      <c r="H29" s="36"/>
    </row>
    <row r="30" spans="2:8" x14ac:dyDescent="0.3">
      <c r="C30" s="24" t="s">
        <v>40</v>
      </c>
      <c r="E30" s="33"/>
      <c r="F30" s="34"/>
      <c r="G30" s="35"/>
      <c r="H30" s="36">
        <f>SUBTOTAL(9,H6:H29)</f>
        <v>1616.8596612800002</v>
      </c>
    </row>
    <row r="31" spans="2:8" x14ac:dyDescent="0.3">
      <c r="F31" s="19"/>
      <c r="G31" s="25"/>
      <c r="H31" s="27">
        <f t="shared" si="0"/>
        <v>0</v>
      </c>
    </row>
    <row r="32" spans="2:8" x14ac:dyDescent="0.3">
      <c r="B32" s="24" t="s">
        <v>41</v>
      </c>
      <c r="E32" s="50">
        <f>ROUND(VLOOKUP($A$4,zone_lu,5)*0.6,2)</f>
        <v>0.09</v>
      </c>
      <c r="F32" s="19"/>
      <c r="G32" s="25"/>
      <c r="H32" s="27">
        <f>ROUND(H30*E32,0)</f>
        <v>146</v>
      </c>
    </row>
    <row r="33" spans="1:9" x14ac:dyDescent="0.3">
      <c r="E33" s="50"/>
      <c r="F33" s="19"/>
      <c r="G33" s="25"/>
      <c r="H33" s="27"/>
    </row>
    <row r="34" spans="1:9" x14ac:dyDescent="0.3">
      <c r="B34" s="24" t="s">
        <v>70</v>
      </c>
      <c r="E34" s="50">
        <f>ROUND(VLOOKUP($A$4,zone_lu,6)*0.4,2)</f>
        <v>0.04</v>
      </c>
      <c r="F34" s="19"/>
      <c r="G34" s="25"/>
      <c r="H34" s="27">
        <f>ROUND(SUM(H30:H33)*E34,0)</f>
        <v>71</v>
      </c>
    </row>
    <row r="35" spans="1:9" x14ac:dyDescent="0.3">
      <c r="E35" s="50"/>
      <c r="F35" s="19"/>
      <c r="G35" s="25"/>
      <c r="H35" s="27"/>
    </row>
    <row r="36" spans="1:9" x14ac:dyDescent="0.3">
      <c r="B36" t="s">
        <v>85</v>
      </c>
      <c r="E36" s="50">
        <f>VLOOKUP($A$4,zone_lu,7)</f>
        <v>1.2500000000000001E-2</v>
      </c>
      <c r="F36" s="19"/>
      <c r="G36" s="25"/>
      <c r="H36" s="27">
        <f>ROUND(SUM(H30:H35)*E36,0)</f>
        <v>23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1856.8596612800002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5"/>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6"/>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7"/>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4"/>
  <dimension ref="A1:O47"/>
  <sheetViews>
    <sheetView showGridLines="0" topLeftCell="A5"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c r="F8" s="19"/>
      <c r="G8" s="4"/>
      <c r="H8" s="48" t="s">
        <v>82</v>
      </c>
    </row>
    <row r="9" spans="1:15" x14ac:dyDescent="0.3">
      <c r="D9" s="24" t="s">
        <v>35</v>
      </c>
      <c r="E9"/>
      <c r="F9" s="19"/>
      <c r="G9" s="4"/>
      <c r="H9" s="6"/>
    </row>
    <row r="10" spans="1:15" x14ac:dyDescent="0.3">
      <c r="E10"/>
      <c r="F10" s="19"/>
      <c r="G10" s="6"/>
      <c r="H10" s="6"/>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3750.9868649</v>
      </c>
    </row>
    <row r="29" spans="2:8" x14ac:dyDescent="0.3">
      <c r="E29" s="33"/>
      <c r="F29" s="34"/>
      <c r="G29" s="35"/>
      <c r="H29" s="36"/>
    </row>
    <row r="30" spans="2:8" x14ac:dyDescent="0.3">
      <c r="C30" s="24" t="s">
        <v>40</v>
      </c>
      <c r="E30" s="33"/>
      <c r="F30" s="34"/>
      <c r="G30" s="35"/>
      <c r="H30" s="36">
        <f>SUBTOTAL(9,H6:H29)</f>
        <v>3750.9868649</v>
      </c>
    </row>
    <row r="31" spans="2:8" x14ac:dyDescent="0.3">
      <c r="F31" s="19"/>
      <c r="G31" s="25"/>
      <c r="H31" s="27">
        <f t="shared" si="0"/>
        <v>0</v>
      </c>
    </row>
    <row r="32" spans="2:8" x14ac:dyDescent="0.3">
      <c r="B32" s="24" t="s">
        <v>41</v>
      </c>
      <c r="E32" s="50">
        <f>ROUND(VLOOKUP($A$4,zone_lu,5)*0.6,2)</f>
        <v>0.09</v>
      </c>
      <c r="F32" s="19"/>
      <c r="G32" s="25"/>
      <c r="H32" s="27">
        <f>ROUND(H30*E32,0)</f>
        <v>338</v>
      </c>
    </row>
    <row r="33" spans="1:9" x14ac:dyDescent="0.3">
      <c r="E33" s="50"/>
      <c r="F33" s="19"/>
      <c r="G33" s="25"/>
      <c r="H33" s="27"/>
    </row>
    <row r="34" spans="1:9" x14ac:dyDescent="0.3">
      <c r="B34" s="24" t="s">
        <v>70</v>
      </c>
      <c r="E34" s="50">
        <f>ROUND(VLOOKUP($A$4,zone_lu,6)*0.4,2)</f>
        <v>0.04</v>
      </c>
      <c r="F34" s="19"/>
      <c r="G34" s="25"/>
      <c r="H34" s="27">
        <f>ROUND(SUM(H30:H33)*E34,0)</f>
        <v>164</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4305.9868649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4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4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53"/>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10</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54"/>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27</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1200</v>
      </c>
      <c r="H14" s="27">
        <f t="shared" si="0"/>
        <v>1200</v>
      </c>
    </row>
    <row r="15" spans="1:15" ht="28.8" x14ac:dyDescent="0.3">
      <c r="D15" s="12" t="s">
        <v>47</v>
      </c>
      <c r="F15" s="19"/>
      <c r="G15" s="25"/>
      <c r="H15" s="27">
        <f t="shared" si="0"/>
        <v>0</v>
      </c>
    </row>
    <row r="16" spans="1:15" x14ac:dyDescent="0.3">
      <c r="D16" s="1" t="s">
        <v>39</v>
      </c>
      <c r="E16" s="24">
        <v>1</v>
      </c>
      <c r="F16" s="19" t="s">
        <v>36</v>
      </c>
      <c r="G16" s="25">
        <v>50</v>
      </c>
      <c r="H16" s="27">
        <f t="shared" si="0"/>
        <v>50</v>
      </c>
    </row>
    <row r="17" spans="2:8" x14ac:dyDescent="0.3">
      <c r="D17" s="24" t="s">
        <v>33</v>
      </c>
      <c r="E17" s="24">
        <v>12</v>
      </c>
      <c r="F17" s="19" t="s">
        <v>34</v>
      </c>
      <c r="G17" s="25">
        <f>VLOOKUP($A$4,zone_lu,4)</f>
        <v>58.866228829999997</v>
      </c>
      <c r="H17" s="27">
        <f t="shared" si="0"/>
        <v>706.39474595999991</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77</v>
      </c>
      <c r="E21" s="24">
        <v>1</v>
      </c>
      <c r="F21" s="19" t="s">
        <v>36</v>
      </c>
      <c r="G21" s="25">
        <v>200</v>
      </c>
      <c r="H21" s="27">
        <f t="shared" si="0"/>
        <v>200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75</v>
      </c>
      <c r="H24" s="52">
        <f t="shared" ref="H24:H27" si="1">E24*G24</f>
        <v>75</v>
      </c>
    </row>
    <row r="25" spans="2:8" x14ac:dyDescent="0.3">
      <c r="C25"/>
      <c r="D25" t="s">
        <v>88</v>
      </c>
      <c r="E25" s="51"/>
      <c r="F25" s="43"/>
      <c r="G25" s="11"/>
      <c r="H25" s="53" t="s">
        <v>82</v>
      </c>
    </row>
    <row r="26" spans="2:8" x14ac:dyDescent="0.3">
      <c r="C26"/>
      <c r="D26" t="s">
        <v>89</v>
      </c>
      <c r="E26" s="51">
        <v>20</v>
      </c>
      <c r="F26" s="43" t="s">
        <v>90</v>
      </c>
      <c r="G26" s="11">
        <v>3</v>
      </c>
      <c r="H26" s="52">
        <f t="shared" si="1"/>
        <v>60</v>
      </c>
    </row>
    <row r="27" spans="2:8" x14ac:dyDescent="0.3">
      <c r="C27"/>
      <c r="D27" t="s">
        <v>33</v>
      </c>
      <c r="E27" s="51">
        <v>16</v>
      </c>
      <c r="F27" s="43" t="s">
        <v>34</v>
      </c>
      <c r="G27" s="11">
        <f>VLOOKUP($A$4,zone_lu,4)</f>
        <v>58.866228829999997</v>
      </c>
      <c r="H27" s="52">
        <f t="shared" si="1"/>
        <v>941.85966127999995</v>
      </c>
    </row>
    <row r="28" spans="2:8" x14ac:dyDescent="0.3">
      <c r="E28" s="28"/>
      <c r="F28" s="29"/>
      <c r="G28" s="30"/>
      <c r="H28" s="31">
        <f>SUBTOTAL(9,H12:H27)</f>
        <v>3750.9868649</v>
      </c>
    </row>
    <row r="29" spans="2:8" x14ac:dyDescent="0.3">
      <c r="E29" s="33"/>
      <c r="F29" s="34"/>
      <c r="G29" s="35"/>
      <c r="H29" s="36"/>
    </row>
    <row r="30" spans="2:8" x14ac:dyDescent="0.3">
      <c r="C30" s="24" t="s">
        <v>40</v>
      </c>
      <c r="E30" s="33"/>
      <c r="F30" s="34"/>
      <c r="G30" s="35"/>
      <c r="H30" s="36">
        <f>SUBTOTAL(9,H6:H29)</f>
        <v>3750.9868649</v>
      </c>
    </row>
    <row r="31" spans="2:8" x14ac:dyDescent="0.3">
      <c r="F31" s="19"/>
      <c r="G31" s="25"/>
      <c r="H31" s="27">
        <f t="shared" si="0"/>
        <v>0</v>
      </c>
    </row>
    <row r="32" spans="2:8" x14ac:dyDescent="0.3">
      <c r="B32" s="24" t="s">
        <v>41</v>
      </c>
      <c r="E32" s="50">
        <f>ROUND(VLOOKUP($A$4,zone_lu,5)*0.6,2)</f>
        <v>0.09</v>
      </c>
      <c r="F32" s="19"/>
      <c r="G32" s="25"/>
      <c r="H32" s="27">
        <f>ROUND(H30*E32,0)</f>
        <v>338</v>
      </c>
    </row>
    <row r="33" spans="1:9" x14ac:dyDescent="0.3">
      <c r="E33" s="50"/>
      <c r="F33" s="19"/>
      <c r="G33" s="25"/>
      <c r="H33" s="27"/>
    </row>
    <row r="34" spans="1:9" x14ac:dyDescent="0.3">
      <c r="B34" s="24" t="s">
        <v>70</v>
      </c>
      <c r="E34" s="50">
        <f>ROUND(VLOOKUP($A$4,zone_lu,6)*0.4,2)</f>
        <v>0.04</v>
      </c>
      <c r="F34" s="19"/>
      <c r="G34" s="25"/>
      <c r="H34" s="27">
        <f>ROUND(SUM(H30:H33)*E34,0)</f>
        <v>164</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4305.9868649</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5"/>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6"/>
  <dimension ref="A1:O47"/>
  <sheetViews>
    <sheetView showGridLines="0" topLeftCell="A5"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c r="H14" s="47" t="s">
        <v>80</v>
      </c>
    </row>
    <row r="15" spans="1:15" ht="28.8" x14ac:dyDescent="0.3">
      <c r="D15" s="12" t="s">
        <v>50</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1616.8596612800002</v>
      </c>
    </row>
    <row r="29" spans="2:8" x14ac:dyDescent="0.3">
      <c r="E29" s="33"/>
      <c r="F29" s="34"/>
      <c r="G29" s="35"/>
      <c r="H29" s="36"/>
    </row>
    <row r="30" spans="2:8" x14ac:dyDescent="0.3">
      <c r="C30" s="24" t="s">
        <v>40</v>
      </c>
      <c r="E30" s="33"/>
      <c r="F30" s="34"/>
      <c r="G30" s="35"/>
      <c r="H30" s="36">
        <f>SUBTOTAL(9,H6:H29)</f>
        <v>1616.8596612800002</v>
      </c>
    </row>
    <row r="31" spans="2:8" x14ac:dyDescent="0.3">
      <c r="F31" s="19"/>
      <c r="G31" s="25"/>
      <c r="H31" s="27">
        <f t="shared" si="0"/>
        <v>0</v>
      </c>
    </row>
    <row r="32" spans="2:8" x14ac:dyDescent="0.3">
      <c r="B32" s="24" t="s">
        <v>41</v>
      </c>
      <c r="E32" s="50">
        <f>ROUND(VLOOKUP($A$4,zone_lu,5)*0.6,2)</f>
        <v>0.09</v>
      </c>
      <c r="F32" s="19"/>
      <c r="G32" s="25"/>
      <c r="H32" s="27">
        <f>ROUND(H30*E32,0)</f>
        <v>146</v>
      </c>
    </row>
    <row r="33" spans="1:9" x14ac:dyDescent="0.3">
      <c r="E33" s="50"/>
      <c r="F33" s="19"/>
      <c r="G33" s="25"/>
      <c r="H33" s="27"/>
    </row>
    <row r="34" spans="1:9" x14ac:dyDescent="0.3">
      <c r="B34" s="24" t="s">
        <v>70</v>
      </c>
      <c r="E34" s="50">
        <f>ROUND(VLOOKUP($A$4,zone_lu,6)*0.4,2)</f>
        <v>0.04</v>
      </c>
      <c r="F34" s="19"/>
      <c r="G34" s="25"/>
      <c r="H34" s="27">
        <f>ROUND(SUM(H30:H33)*E34,0)</f>
        <v>71</v>
      </c>
    </row>
    <row r="35" spans="1:9" x14ac:dyDescent="0.3">
      <c r="E35" s="50"/>
      <c r="F35" s="19"/>
      <c r="G35" s="25"/>
      <c r="H35" s="27"/>
    </row>
    <row r="36" spans="1:9" x14ac:dyDescent="0.3">
      <c r="B36" t="s">
        <v>85</v>
      </c>
      <c r="E36" s="50">
        <f>VLOOKUP($A$4,zone_lu,7)</f>
        <v>1.2500000000000001E-2</v>
      </c>
      <c r="F36" s="19"/>
      <c r="G36" s="25"/>
      <c r="H36" s="27">
        <f>ROUND(SUM(H30:H35)*E36,0)</f>
        <v>23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1856.8596612800002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57"/>
  <dimension ref="A1:O47"/>
  <sheetViews>
    <sheetView showGridLines="0" topLeftCell="A5"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E7"/>
      <c r="F7" s="19"/>
      <c r="G7" s="4"/>
      <c r="H7" s="48" t="s">
        <v>82</v>
      </c>
    </row>
    <row r="8" spans="1:15" x14ac:dyDescent="0.3">
      <c r="D8" s="24" t="s">
        <v>33</v>
      </c>
      <c r="E8"/>
      <c r="F8" s="19"/>
      <c r="G8" s="4"/>
      <c r="H8" s="6"/>
    </row>
    <row r="9" spans="1:15" x14ac:dyDescent="0.3">
      <c r="D9" s="24" t="s">
        <v>35</v>
      </c>
      <c r="E9"/>
      <c r="F9" s="19"/>
      <c r="G9" s="6"/>
      <c r="H9" s="6"/>
    </row>
    <row r="10" spans="1:15" x14ac:dyDescent="0.3">
      <c r="E10" s="28"/>
      <c r="F10" s="29"/>
      <c r="G10" s="30"/>
      <c r="H10" s="31">
        <f>SUBTOTAL(9,H6:H9)</f>
        <v>0</v>
      </c>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5"/>
  <dimension ref="A1:O47"/>
  <sheetViews>
    <sheetView showGridLines="0" topLeftCell="A8" zoomScale="90" zoomScaleNormal="90" workbookViewId="0">
      <selection activeCell="I33" sqref="I33"/>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c r="F8" s="19"/>
      <c r="G8" s="4"/>
      <c r="H8" s="48" t="s">
        <v>82</v>
      </c>
    </row>
    <row r="9" spans="1:15" x14ac:dyDescent="0.3">
      <c r="D9" s="24" t="s">
        <v>35</v>
      </c>
      <c r="E9"/>
      <c r="F9" s="19"/>
      <c r="G9" s="4"/>
      <c r="H9" s="6"/>
    </row>
    <row r="10" spans="1:15" x14ac:dyDescent="0.3">
      <c r="E10"/>
      <c r="F10" s="19"/>
      <c r="G10" s="6"/>
      <c r="H10" s="6"/>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42" t="s">
        <v>45</v>
      </c>
      <c r="E14" s="42">
        <v>1</v>
      </c>
      <c r="F14" s="43" t="s">
        <v>38</v>
      </c>
      <c r="G14" s="32">
        <v>1500</v>
      </c>
      <c r="H14" s="44">
        <f t="shared" si="0"/>
        <v>1500</v>
      </c>
    </row>
    <row r="15" spans="1:15" ht="28.8" x14ac:dyDescent="0.3">
      <c r="D15" s="12" t="s">
        <v>49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3116.8596612800002</v>
      </c>
    </row>
    <row r="29" spans="2:8" x14ac:dyDescent="0.3">
      <c r="E29" s="33"/>
      <c r="F29" s="34"/>
      <c r="G29" s="35"/>
      <c r="H29" s="36"/>
    </row>
    <row r="30" spans="2:8" x14ac:dyDescent="0.3">
      <c r="C30" s="24" t="s">
        <v>40</v>
      </c>
      <c r="E30" s="33"/>
      <c r="F30" s="34"/>
      <c r="G30" s="35"/>
      <c r="H30" s="36">
        <f>SUBTOTAL(9,H6:H29)</f>
        <v>3116.8596612800002</v>
      </c>
    </row>
    <row r="31" spans="2:8" x14ac:dyDescent="0.3">
      <c r="F31" s="19"/>
      <c r="G31" s="25"/>
      <c r="H31" s="27">
        <f t="shared" si="0"/>
        <v>0</v>
      </c>
    </row>
    <row r="32" spans="2:8" x14ac:dyDescent="0.3">
      <c r="B32" s="24" t="s">
        <v>41</v>
      </c>
      <c r="E32" s="50">
        <f>ROUND(VLOOKUP($A$4,zone_lu,5)*0.6,2)</f>
        <v>0.09</v>
      </c>
      <c r="F32" s="19"/>
      <c r="G32" s="25"/>
      <c r="H32" s="27">
        <f>ROUND(H30*E32,0)</f>
        <v>281</v>
      </c>
    </row>
    <row r="33" spans="1:9" x14ac:dyDescent="0.3">
      <c r="E33" s="50"/>
      <c r="F33" s="19"/>
      <c r="G33" s="25"/>
      <c r="H33" s="27"/>
    </row>
    <row r="34" spans="1:9" x14ac:dyDescent="0.3">
      <c r="B34" s="24" t="s">
        <v>70</v>
      </c>
      <c r="E34" s="50">
        <f>ROUND(VLOOKUP($A$4,zone_lu,6)*0.4,2)</f>
        <v>0.04</v>
      </c>
      <c r="F34" s="19"/>
      <c r="G34" s="25"/>
      <c r="H34" s="27">
        <f>ROUND(SUM(H30:H33)*E34,0)</f>
        <v>136</v>
      </c>
    </row>
    <row r="35" spans="1:9" x14ac:dyDescent="0.3">
      <c r="E35" s="50"/>
      <c r="F35" s="19"/>
      <c r="G35" s="25"/>
      <c r="H35" s="27"/>
    </row>
    <row r="36" spans="1:9" x14ac:dyDescent="0.3">
      <c r="B36" t="s">
        <v>85</v>
      </c>
      <c r="E36" s="50">
        <f>VLOOKUP($A$4,zone_lu,7)</f>
        <v>1.2500000000000001E-2</v>
      </c>
      <c r="F36" s="19"/>
      <c r="G36" s="25"/>
      <c r="H36" s="27">
        <f>ROUND(SUM(H30:H35)*E36,0)</f>
        <v>44</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3577.8596612800002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58"/>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52</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59"/>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54</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1600</v>
      </c>
      <c r="H14" s="44">
        <f t="shared" si="0"/>
        <v>1600</v>
      </c>
    </row>
    <row r="15" spans="1:15" ht="28.8" x14ac:dyDescent="0.3">
      <c r="D15" s="12" t="s">
        <v>55</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2706.3947459599995</v>
      </c>
    </row>
    <row r="29" spans="2:8" x14ac:dyDescent="0.3">
      <c r="E29" s="33"/>
      <c r="F29" s="34"/>
      <c r="G29" s="35"/>
      <c r="H29" s="36"/>
    </row>
    <row r="30" spans="2:8" x14ac:dyDescent="0.3">
      <c r="C30" s="24" t="s">
        <v>40</v>
      </c>
      <c r="E30" s="33"/>
      <c r="F30" s="34"/>
      <c r="G30" s="35"/>
      <c r="H30" s="36">
        <f>SUBTOTAL(9,H6:H29)</f>
        <v>2924.1272036199994</v>
      </c>
    </row>
    <row r="31" spans="2:8" x14ac:dyDescent="0.3">
      <c r="F31" s="19"/>
      <c r="G31" s="25"/>
      <c r="H31" s="27">
        <f t="shared" si="0"/>
        <v>0</v>
      </c>
    </row>
    <row r="32" spans="2:8" x14ac:dyDescent="0.3">
      <c r="B32" s="24" t="s">
        <v>41</v>
      </c>
      <c r="E32" s="50">
        <f>VLOOKUP($A$4,zone_lu,5)</f>
        <v>0.15</v>
      </c>
      <c r="F32" s="19"/>
      <c r="G32" s="25"/>
      <c r="H32" s="27">
        <f>ROUND(H30*E32,0)</f>
        <v>439</v>
      </c>
    </row>
    <row r="33" spans="1:9" x14ac:dyDescent="0.3">
      <c r="E33" s="50"/>
      <c r="F33" s="19"/>
      <c r="G33" s="25"/>
      <c r="H33" s="27"/>
    </row>
    <row r="34" spans="1:9" x14ac:dyDescent="0.3">
      <c r="B34" s="24" t="s">
        <v>70</v>
      </c>
      <c r="E34" s="50">
        <f>VLOOKUP($A$4,zone_lu,6)</f>
        <v>0.1</v>
      </c>
      <c r="F34" s="19"/>
      <c r="G34" s="25"/>
      <c r="H34" s="27">
        <f>ROUND(SUM(H30:H33)*E34,0)</f>
        <v>336</v>
      </c>
    </row>
    <row r="35" spans="1:9" x14ac:dyDescent="0.3">
      <c r="E35" s="50"/>
      <c r="F35" s="19"/>
      <c r="G35" s="25"/>
      <c r="H35" s="27"/>
    </row>
    <row r="36" spans="1:9" x14ac:dyDescent="0.3">
      <c r="B36" t="s">
        <v>85</v>
      </c>
      <c r="E36" s="50">
        <f>VLOOKUP($A$4,zone_lu,7)</f>
        <v>1.2500000000000001E-2</v>
      </c>
      <c r="F36" s="19"/>
      <c r="G36" s="25"/>
      <c r="H36" s="27">
        <f>ROUND(SUM(H30:H35)*E36,0)</f>
        <v>46</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3745.1272036199994</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1"/>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27</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57</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62"/>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53</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63"/>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F14" s="19" t="s">
        <v>38</v>
      </c>
      <c r="G14" s="32"/>
      <c r="H14" s="47" t="s">
        <v>80</v>
      </c>
    </row>
    <row r="15" spans="1:15" ht="28.8" x14ac:dyDescent="0.3">
      <c r="D15" s="12" t="s">
        <v>58</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1106.3947459599999</v>
      </c>
    </row>
    <row r="29" spans="2:8" x14ac:dyDescent="0.3">
      <c r="E29" s="33"/>
      <c r="F29" s="34"/>
      <c r="G29" s="35"/>
      <c r="H29" s="36"/>
    </row>
    <row r="30" spans="2:8" x14ac:dyDescent="0.3">
      <c r="C30" s="24" t="s">
        <v>40</v>
      </c>
      <c r="E30" s="33"/>
      <c r="F30" s="34"/>
      <c r="G30" s="35"/>
      <c r="H30" s="36">
        <f>SUBTOTAL(9,H6:H29)</f>
        <v>1324.12720362</v>
      </c>
    </row>
    <row r="31" spans="2:8" x14ac:dyDescent="0.3">
      <c r="F31" s="19"/>
      <c r="G31" s="25"/>
      <c r="H31" s="27">
        <f t="shared" si="0"/>
        <v>0</v>
      </c>
    </row>
    <row r="32" spans="2:8" x14ac:dyDescent="0.3">
      <c r="B32" s="24" t="s">
        <v>41</v>
      </c>
      <c r="E32" s="50">
        <f>VLOOKUP($A$4,zone_lu,5)</f>
        <v>0.15</v>
      </c>
      <c r="F32" s="19"/>
      <c r="G32" s="25"/>
      <c r="H32" s="27">
        <f>ROUND(H30*E32,0)</f>
        <v>199</v>
      </c>
    </row>
    <row r="33" spans="1:9" x14ac:dyDescent="0.3">
      <c r="E33" s="50"/>
      <c r="F33" s="19"/>
      <c r="G33" s="25"/>
      <c r="H33" s="27"/>
    </row>
    <row r="34" spans="1:9" x14ac:dyDescent="0.3">
      <c r="B34" s="24" t="s">
        <v>70</v>
      </c>
      <c r="E34" s="50">
        <f>VLOOKUP($A$4,zone_lu,6)</f>
        <v>0.1</v>
      </c>
      <c r="F34" s="19"/>
      <c r="G34" s="25"/>
      <c r="H34" s="27">
        <f>ROUND(SUM(H30:H33)*E34,0)</f>
        <v>152</v>
      </c>
    </row>
    <row r="35" spans="1:9" x14ac:dyDescent="0.3">
      <c r="E35" s="50"/>
      <c r="F35" s="19"/>
      <c r="G35" s="25"/>
      <c r="H35" s="27"/>
    </row>
    <row r="36" spans="1:9" x14ac:dyDescent="0.3">
      <c r="B36" t="s">
        <v>85</v>
      </c>
      <c r="E36" s="50">
        <f>VLOOKUP($A$4,zone_lu,7)</f>
        <v>1.2500000000000001E-2</v>
      </c>
      <c r="F36" s="19"/>
      <c r="G36" s="25"/>
      <c r="H36" s="27">
        <f>ROUND(SUM(H30:H35)*E36,0)</f>
        <v>21</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1696.12720362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80"/>
  <dimension ref="A1:O47"/>
  <sheetViews>
    <sheetView showGridLines="0" topLeftCell="A3"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Pre-1978</v>
      </c>
    </row>
    <row r="2" spans="1:15" x14ac:dyDescent="0.3">
      <c r="A2" s="24" t="s">
        <v>31</v>
      </c>
    </row>
    <row r="3" spans="1:15" x14ac:dyDescent="0.3">
      <c r="A3" s="24" t="s">
        <v>26</v>
      </c>
    </row>
    <row r="4" spans="1:15" x14ac:dyDescent="0.3">
      <c r="A4" s="75">
        <v>12</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43" t="s">
        <v>38</v>
      </c>
      <c r="G14" s="32">
        <v>1400</v>
      </c>
      <c r="H14" s="44">
        <f t="shared" si="0"/>
        <v>1400</v>
      </c>
    </row>
    <row r="15" spans="1:15" ht="28.8" x14ac:dyDescent="0.3">
      <c r="D15" s="12" t="s">
        <v>59</v>
      </c>
      <c r="E15" s="42"/>
      <c r="F15" s="43"/>
      <c r="G15" s="32"/>
      <c r="H15" s="44">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79</v>
      </c>
      <c r="E21" s="24">
        <v>1</v>
      </c>
      <c r="F21" s="19" t="s">
        <v>36</v>
      </c>
      <c r="G21" s="25">
        <v>100</v>
      </c>
      <c r="H21" s="27">
        <f t="shared" si="0"/>
        <v>100</v>
      </c>
    </row>
    <row r="22" spans="2:8" x14ac:dyDescent="0.3">
      <c r="D22" s="24" t="s">
        <v>33</v>
      </c>
      <c r="E22" s="24">
        <v>4</v>
      </c>
      <c r="F22" s="19" t="s">
        <v>34</v>
      </c>
      <c r="G22" s="25">
        <f>VLOOKUP($A$4,zone_lu,4)</f>
        <v>58.866228829999997</v>
      </c>
      <c r="H22" s="27">
        <f t="shared" si="0"/>
        <v>235.46491531999999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4</v>
      </c>
      <c r="F27" s="43" t="s">
        <v>34</v>
      </c>
      <c r="G27" s="11">
        <f>VLOOKUP($A$4,zone_lu,4)</f>
        <v>58.866228829999997</v>
      </c>
      <c r="H27" s="52">
        <f t="shared" si="1"/>
        <v>235.46491531999999</v>
      </c>
    </row>
    <row r="28" spans="2:8" x14ac:dyDescent="0.3">
      <c r="E28" s="28"/>
      <c r="F28" s="29"/>
      <c r="G28" s="30"/>
      <c r="H28" s="31">
        <f>SUBTOTAL(9,H12:H27)</f>
        <v>2506.3947459599999</v>
      </c>
    </row>
    <row r="29" spans="2:8" x14ac:dyDescent="0.3">
      <c r="E29" s="33"/>
      <c r="F29" s="34"/>
      <c r="G29" s="35"/>
      <c r="H29" s="36"/>
    </row>
    <row r="30" spans="2:8" x14ac:dyDescent="0.3">
      <c r="C30" s="24" t="s">
        <v>40</v>
      </c>
      <c r="E30" s="33"/>
      <c r="F30" s="34"/>
      <c r="G30" s="35"/>
      <c r="H30" s="36">
        <f>SUBTOTAL(9,H6:H29)</f>
        <v>2724.1272036199998</v>
      </c>
    </row>
    <row r="31" spans="2:8" x14ac:dyDescent="0.3">
      <c r="F31" s="19"/>
      <c r="G31" s="25"/>
      <c r="H31" s="27">
        <f t="shared" si="0"/>
        <v>0</v>
      </c>
    </row>
    <row r="32" spans="2:8" x14ac:dyDescent="0.3">
      <c r="B32" s="24" t="s">
        <v>41</v>
      </c>
      <c r="E32" s="50">
        <f>VLOOKUP($A$4,zone_lu,5)</f>
        <v>0.15</v>
      </c>
      <c r="F32" s="19"/>
      <c r="G32" s="25"/>
      <c r="H32" s="27">
        <f>ROUND(H30*E32,0)</f>
        <v>409</v>
      </c>
    </row>
    <row r="33" spans="1:9" x14ac:dyDescent="0.3">
      <c r="E33" s="50"/>
      <c r="F33" s="19"/>
      <c r="G33" s="25"/>
      <c r="H33" s="27"/>
    </row>
    <row r="34" spans="1:9" x14ac:dyDescent="0.3">
      <c r="B34" s="24" t="s">
        <v>70</v>
      </c>
      <c r="E34" s="50">
        <f>VLOOKUP($A$4,zone_lu,6)</f>
        <v>0.1</v>
      </c>
      <c r="F34" s="19"/>
      <c r="G34" s="25"/>
      <c r="H34" s="27">
        <f>ROUND(SUM(H30:H33)*E34,0)</f>
        <v>313</v>
      </c>
    </row>
    <row r="35" spans="1:9" x14ac:dyDescent="0.3">
      <c r="E35" s="50"/>
      <c r="F35" s="19"/>
      <c r="G35" s="25"/>
      <c r="H35" s="27"/>
    </row>
    <row r="36" spans="1:9" x14ac:dyDescent="0.3">
      <c r="B36" t="s">
        <v>85</v>
      </c>
      <c r="E36" s="50">
        <f>VLOOKUP($A$4,zone_lu,7)</f>
        <v>1.2500000000000001E-2</v>
      </c>
      <c r="F36" s="19"/>
      <c r="G36" s="25"/>
      <c r="H36" s="27">
        <f>ROUND(SUM(H30:H35)*E36,0)</f>
        <v>43</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3489.1272036199998</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70"/>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27</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60</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73"/>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61</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78"/>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63</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1"/>
  <dimension ref="A1:O47"/>
  <sheetViews>
    <sheetView showGridLines="0" topLeftCell="A5" zoomScale="90" zoomScaleNormal="90" workbookViewId="0">
      <selection activeCell="I14" sqref="I14"/>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New Construction</v>
      </c>
    </row>
    <row r="2" spans="1:15" x14ac:dyDescent="0.3">
      <c r="A2" s="24" t="s">
        <v>4</v>
      </c>
    </row>
    <row r="3" spans="1:15" x14ac:dyDescent="0.3">
      <c r="A3" s="24" t="s">
        <v>26</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c r="F8" s="19"/>
      <c r="G8" s="4"/>
      <c r="H8" s="48" t="s">
        <v>82</v>
      </c>
    </row>
    <row r="9" spans="1:15" x14ac:dyDescent="0.3">
      <c r="D9" s="24" t="s">
        <v>35</v>
      </c>
      <c r="E9"/>
      <c r="F9" s="19"/>
      <c r="G9" s="4"/>
      <c r="H9" s="6"/>
    </row>
    <row r="10" spans="1:15" x14ac:dyDescent="0.3">
      <c r="E10"/>
      <c r="F10" s="19"/>
      <c r="G10" s="6"/>
      <c r="H10" s="6"/>
    </row>
    <row r="11" spans="1:15" x14ac:dyDescent="0.3">
      <c r="F11" s="19"/>
      <c r="G11" s="25"/>
      <c r="H11" s="27">
        <f t="shared" ref="H11:H31" si="0">E11*G11</f>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42">
        <v>1</v>
      </c>
      <c r="F14" s="19" t="s">
        <v>38</v>
      </c>
      <c r="G14" s="32">
        <v>2100</v>
      </c>
      <c r="H14" s="27">
        <f t="shared" si="0"/>
        <v>2100</v>
      </c>
    </row>
    <row r="15" spans="1:15" ht="28.8" x14ac:dyDescent="0.3">
      <c r="D15" s="12" t="s">
        <v>51</v>
      </c>
      <c r="E15" s="42"/>
      <c r="F15" s="19"/>
      <c r="G15" s="25"/>
      <c r="H15" s="27">
        <f t="shared" si="0"/>
        <v>0</v>
      </c>
    </row>
    <row r="16" spans="1:15" x14ac:dyDescent="0.3">
      <c r="D16" s="1" t="s">
        <v>39</v>
      </c>
      <c r="E16" s="24">
        <v>1</v>
      </c>
      <c r="F16" s="19" t="s">
        <v>36</v>
      </c>
      <c r="G16" s="25">
        <v>50</v>
      </c>
      <c r="H16" s="27">
        <f t="shared" si="0"/>
        <v>50</v>
      </c>
    </row>
    <row r="17" spans="2:8" x14ac:dyDescent="0.3">
      <c r="D17" s="24" t="s">
        <v>33</v>
      </c>
      <c r="E17" s="24">
        <v>6</v>
      </c>
      <c r="F17" s="19" t="s">
        <v>34</v>
      </c>
      <c r="G17" s="25">
        <f>VLOOKUP($A$4,zone_lu,4)</f>
        <v>58.866228829999997</v>
      </c>
      <c r="H17" s="27">
        <f t="shared" si="0"/>
        <v>353.19737297999995</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400</v>
      </c>
      <c r="H20" s="27">
        <f t="shared" si="0"/>
        <v>400</v>
      </c>
    </row>
    <row r="21" spans="2:8" x14ac:dyDescent="0.3">
      <c r="D21" s="46" t="s">
        <v>79</v>
      </c>
      <c r="E21" s="24">
        <v>1</v>
      </c>
      <c r="F21" s="19" t="s">
        <v>36</v>
      </c>
      <c r="G21" s="25">
        <v>100</v>
      </c>
      <c r="H21" s="27">
        <f t="shared" si="0"/>
        <v>100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v>1</v>
      </c>
      <c r="F24" s="43" t="s">
        <v>38</v>
      </c>
      <c r="G24" s="11">
        <v>125</v>
      </c>
      <c r="H24" s="52">
        <f t="shared" ref="H24:H27" si="1">E24*G24</f>
        <v>125</v>
      </c>
    </row>
    <row r="25" spans="2:8" x14ac:dyDescent="0.3">
      <c r="C25"/>
      <c r="D25" t="s">
        <v>88</v>
      </c>
      <c r="E25" s="51"/>
      <c r="F25" s="43"/>
      <c r="G25" s="11"/>
      <c r="H25" s="53" t="s">
        <v>82</v>
      </c>
    </row>
    <row r="26" spans="2:8" x14ac:dyDescent="0.3">
      <c r="C26"/>
      <c r="D26" t="s">
        <v>89</v>
      </c>
      <c r="E26" s="51"/>
      <c r="F26" s="43"/>
      <c r="G26" s="11"/>
      <c r="H26" s="53" t="s">
        <v>82</v>
      </c>
    </row>
    <row r="27" spans="2:8" x14ac:dyDescent="0.3">
      <c r="C27"/>
      <c r="D27" t="s">
        <v>33</v>
      </c>
      <c r="E27" s="51">
        <v>8</v>
      </c>
      <c r="F27" s="43" t="s">
        <v>34</v>
      </c>
      <c r="G27" s="11">
        <f>VLOOKUP($A$4,zone_lu,4)</f>
        <v>58.866228829999997</v>
      </c>
      <c r="H27" s="52">
        <f t="shared" si="1"/>
        <v>470.92983063999998</v>
      </c>
    </row>
    <row r="28" spans="2:8" x14ac:dyDescent="0.3">
      <c r="E28" s="28"/>
      <c r="F28" s="29"/>
      <c r="G28" s="30"/>
      <c r="H28" s="31">
        <f>SUBTOTAL(9,H12:H27)</f>
        <v>3716.8596612800002</v>
      </c>
    </row>
    <row r="29" spans="2:8" x14ac:dyDescent="0.3">
      <c r="E29" s="33"/>
      <c r="F29" s="34"/>
      <c r="G29" s="35"/>
      <c r="H29" s="36"/>
    </row>
    <row r="30" spans="2:8" x14ac:dyDescent="0.3">
      <c r="C30" s="24" t="s">
        <v>40</v>
      </c>
      <c r="E30" s="33"/>
      <c r="F30" s="34"/>
      <c r="G30" s="35"/>
      <c r="H30" s="36">
        <f>SUBTOTAL(9,H6:H29)</f>
        <v>3716.8596612800002</v>
      </c>
    </row>
    <row r="31" spans="2:8" x14ac:dyDescent="0.3">
      <c r="F31" s="19"/>
      <c r="G31" s="25"/>
      <c r="H31" s="27">
        <f t="shared" si="0"/>
        <v>0</v>
      </c>
    </row>
    <row r="32" spans="2:8" x14ac:dyDescent="0.3">
      <c r="B32" s="24" t="s">
        <v>41</v>
      </c>
      <c r="E32" s="50">
        <f>ROUND(VLOOKUP($A$4,zone_lu,5)*0.6,2)</f>
        <v>0.09</v>
      </c>
      <c r="F32" s="19"/>
      <c r="G32" s="25"/>
      <c r="H32" s="27">
        <f>ROUND(H30*E32,0)</f>
        <v>335</v>
      </c>
    </row>
    <row r="33" spans="1:9" x14ac:dyDescent="0.3">
      <c r="E33" s="50"/>
      <c r="F33" s="19"/>
      <c r="G33" s="25"/>
      <c r="H33" s="27"/>
    </row>
    <row r="34" spans="1:9" x14ac:dyDescent="0.3">
      <c r="B34" s="24" t="s">
        <v>70</v>
      </c>
      <c r="E34" s="50">
        <f>ROUND(VLOOKUP($A$4,zone_lu,6)*0.4,2)</f>
        <v>0.04</v>
      </c>
      <c r="F34" s="19"/>
      <c r="G34" s="25"/>
      <c r="H34" s="27">
        <f>ROUND(SUM(H30:H33)*E34,0)</f>
        <v>162</v>
      </c>
    </row>
    <row r="35" spans="1:9" x14ac:dyDescent="0.3">
      <c r="E35" s="50"/>
      <c r="F35" s="19"/>
      <c r="G35" s="25"/>
      <c r="H35" s="27"/>
    </row>
    <row r="36" spans="1:9" x14ac:dyDescent="0.3">
      <c r="B36" t="s">
        <v>85</v>
      </c>
      <c r="E36" s="50">
        <f>VLOOKUP($A$4,zone_lu,7)</f>
        <v>1.2500000000000001E-2</v>
      </c>
      <c r="F36" s="19"/>
      <c r="G36" s="25"/>
      <c r="H36" s="27">
        <f>ROUND(SUM(H30:H35)*E36,0)</f>
        <v>53</v>
      </c>
    </row>
    <row r="37" spans="1:9" x14ac:dyDescent="0.3">
      <c r="E37" s="50"/>
      <c r="F37" s="19"/>
      <c r="G37" s="25"/>
      <c r="H37" s="27"/>
    </row>
    <row r="38" spans="1:9" x14ac:dyDescent="0.3">
      <c r="B38" s="24" t="s">
        <v>71</v>
      </c>
      <c r="E38" s="50"/>
      <c r="F38" s="19"/>
      <c r="G38" s="25"/>
      <c r="H38" s="27">
        <f>ROUND(SUM(H30:H37)*E38,0)</f>
        <v>0</v>
      </c>
    </row>
    <row r="39" spans="1:9" x14ac:dyDescent="0.3">
      <c r="F39" s="19"/>
      <c r="G39" s="25"/>
      <c r="H39" s="27">
        <f t="shared" ref="H39:H41" si="2">E39*G39</f>
        <v>0</v>
      </c>
    </row>
    <row r="40" spans="1:9" ht="15" thickBot="1" x14ac:dyDescent="0.35">
      <c r="B40" s="38" t="s">
        <v>42</v>
      </c>
      <c r="C40" s="38"/>
      <c r="D40" s="38"/>
      <c r="E40" s="38"/>
      <c r="F40" s="20"/>
      <c r="G40" s="39"/>
      <c r="H40" s="40">
        <f>SUBTOTAL(9,H6:H39)</f>
        <v>4266.8596612800002</v>
      </c>
    </row>
    <row r="41" spans="1:9" ht="15" thickTop="1" x14ac:dyDescent="0.3">
      <c r="E41" s="37"/>
      <c r="F41" s="19"/>
      <c r="G41" s="25"/>
      <c r="H41" s="27">
        <f t="shared" si="2"/>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79"/>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62</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74"/>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64</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76"/>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61</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92"/>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63</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93"/>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62</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75"/>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57</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77"/>
  <dimension ref="A1:O39"/>
  <sheetViews>
    <sheetView showGridLines="0" workbookViewId="0">
      <selection activeCell="M36" sqref="M36"/>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5" x14ac:dyDescent="0.3">
      <c r="A1" t="s">
        <v>30</v>
      </c>
      <c r="O1" t="str">
        <f>A1&amp;": "&amp;A2</f>
        <v>Low-Rise Multi-Family: New Construction</v>
      </c>
    </row>
    <row r="2" spans="1:15" x14ac:dyDescent="0.3">
      <c r="A2" t="s">
        <v>4</v>
      </c>
    </row>
    <row r="3" spans="1:15" x14ac:dyDescent="0.3">
      <c r="A3" t="s">
        <v>26</v>
      </c>
    </row>
    <row r="4" spans="1:15" x14ac:dyDescent="0.3">
      <c r="A4" s="75">
        <v>3</v>
      </c>
      <c r="B4" s="75"/>
      <c r="C4" s="75"/>
    </row>
    <row r="5" spans="1:15" x14ac:dyDescent="0.3">
      <c r="F5" s="3"/>
      <c r="G5" s="4"/>
      <c r="H5" s="5"/>
    </row>
    <row r="6" spans="1:15" x14ac:dyDescent="0.3">
      <c r="B6" t="s">
        <v>32</v>
      </c>
      <c r="F6" s="3"/>
      <c r="G6" s="4"/>
      <c r="H6" s="5"/>
    </row>
    <row r="7" spans="1:15" x14ac:dyDescent="0.3">
      <c r="C7" t="s">
        <v>44</v>
      </c>
      <c r="F7" s="3"/>
      <c r="G7" s="4"/>
      <c r="H7" s="5"/>
    </row>
    <row r="8" spans="1:15" x14ac:dyDescent="0.3">
      <c r="D8" t="s">
        <v>33</v>
      </c>
      <c r="F8" s="3" t="s">
        <v>34</v>
      </c>
      <c r="G8" s="4">
        <f>VLOOKUP($A$4,zone_lu,4)</f>
        <v>58.866228829999997</v>
      </c>
      <c r="H8" s="6">
        <f>E8*G8</f>
        <v>0</v>
      </c>
    </row>
    <row r="9" spans="1:15" x14ac:dyDescent="0.3">
      <c r="D9" t="s">
        <v>35</v>
      </c>
      <c r="F9" s="3" t="s">
        <v>36</v>
      </c>
      <c r="G9" s="4"/>
      <c r="H9" s="6">
        <f t="shared" ref="H9:H24" si="0">E9*G9</f>
        <v>0</v>
      </c>
    </row>
    <row r="10" spans="1:15" x14ac:dyDescent="0.3">
      <c r="E10" s="7"/>
      <c r="F10" s="8"/>
      <c r="G10" s="9"/>
      <c r="H10" s="10">
        <f>SUBTOTAL(9,H6:H9)</f>
        <v>0</v>
      </c>
    </row>
    <row r="11" spans="1:15" x14ac:dyDescent="0.3">
      <c r="F11" s="3"/>
      <c r="G11" s="4"/>
      <c r="H11" s="6">
        <f t="shared" si="0"/>
        <v>0</v>
      </c>
    </row>
    <row r="12" spans="1:15" x14ac:dyDescent="0.3">
      <c r="B12" t="s">
        <v>37</v>
      </c>
      <c r="F12" s="3"/>
      <c r="G12" s="4"/>
      <c r="H12" s="6">
        <f t="shared" si="0"/>
        <v>0</v>
      </c>
    </row>
    <row r="13" spans="1:15" x14ac:dyDescent="0.3">
      <c r="C13" t="s">
        <v>43</v>
      </c>
      <c r="F13" s="3"/>
      <c r="G13" s="4"/>
      <c r="H13" s="6">
        <f t="shared" si="0"/>
        <v>0</v>
      </c>
    </row>
    <row r="14" spans="1:15" x14ac:dyDescent="0.3">
      <c r="D14" t="s">
        <v>45</v>
      </c>
      <c r="F14" s="3" t="s">
        <v>38</v>
      </c>
      <c r="G14" s="11"/>
      <c r="H14" s="6">
        <f t="shared" si="0"/>
        <v>0</v>
      </c>
    </row>
    <row r="15" spans="1:15" ht="28.8" x14ac:dyDescent="0.3">
      <c r="D15" s="12" t="s">
        <v>53</v>
      </c>
      <c r="F15" s="3"/>
      <c r="G15" s="4"/>
      <c r="H15" s="6">
        <f t="shared" si="0"/>
        <v>0</v>
      </c>
    </row>
    <row r="16" spans="1:15" x14ac:dyDescent="0.3">
      <c r="D16" s="1" t="s">
        <v>39</v>
      </c>
      <c r="F16" s="3" t="s">
        <v>36</v>
      </c>
      <c r="G16" s="4"/>
      <c r="H16" s="6">
        <f t="shared" si="0"/>
        <v>0</v>
      </c>
    </row>
    <row r="17" spans="2:8" x14ac:dyDescent="0.3">
      <c r="D17" t="s">
        <v>33</v>
      </c>
      <c r="F17" s="3" t="s">
        <v>34</v>
      </c>
      <c r="G17" s="4"/>
      <c r="H17" s="6">
        <f t="shared" si="0"/>
        <v>0</v>
      </c>
    </row>
    <row r="18" spans="2:8" x14ac:dyDescent="0.3">
      <c r="C18" t="s">
        <v>48</v>
      </c>
      <c r="F18" s="3"/>
      <c r="G18" s="4"/>
      <c r="H18" s="6">
        <f t="shared" si="0"/>
        <v>0</v>
      </c>
    </row>
    <row r="19" spans="2:8" x14ac:dyDescent="0.3">
      <c r="D19" t="s">
        <v>39</v>
      </c>
      <c r="E19">
        <v>1</v>
      </c>
      <c r="F19" s="3" t="s">
        <v>36</v>
      </c>
      <c r="G19" s="4">
        <v>100</v>
      </c>
      <c r="H19" s="6">
        <f t="shared" si="0"/>
        <v>100</v>
      </c>
    </row>
    <row r="20" spans="2:8" x14ac:dyDescent="0.3">
      <c r="D20" t="s">
        <v>33</v>
      </c>
      <c r="E20">
        <v>24</v>
      </c>
      <c r="F20" s="3" t="s">
        <v>34</v>
      </c>
      <c r="G20" s="4">
        <f>VLOOKUP($A$4,zone_lu,4)</f>
        <v>58.866228829999997</v>
      </c>
      <c r="H20" s="6">
        <f t="shared" si="0"/>
        <v>1412.7894919199998</v>
      </c>
    </row>
    <row r="21" spans="2:8" x14ac:dyDescent="0.3">
      <c r="E21" s="7"/>
      <c r="F21" s="8"/>
      <c r="G21" s="9"/>
      <c r="H21" s="10">
        <f>SUBTOTAL(9,H12:H20)</f>
        <v>1512.7894919199998</v>
      </c>
    </row>
    <row r="22" spans="2:8" x14ac:dyDescent="0.3">
      <c r="E22" s="13"/>
      <c r="F22" s="14"/>
      <c r="G22" s="15"/>
      <c r="H22" s="16"/>
    </row>
    <row r="23" spans="2:8" x14ac:dyDescent="0.3">
      <c r="C23" t="s">
        <v>40</v>
      </c>
      <c r="E23" s="13"/>
      <c r="F23" s="14"/>
      <c r="G23" s="15"/>
      <c r="H23" s="16">
        <f>SUBTOTAL(9,H6:H22)</f>
        <v>1512.7894919199998</v>
      </c>
    </row>
    <row r="24" spans="2:8" x14ac:dyDescent="0.3">
      <c r="F24" s="3"/>
      <c r="G24" s="4"/>
      <c r="H24" s="6">
        <f t="shared" si="0"/>
        <v>0</v>
      </c>
    </row>
    <row r="25" spans="2:8" x14ac:dyDescent="0.3">
      <c r="B25" t="s">
        <v>41</v>
      </c>
      <c r="E25" s="17">
        <f>VLOOKUP($A$4,zone_lu,5)</f>
        <v>0.15</v>
      </c>
      <c r="F25" s="19"/>
      <c r="G25" s="4"/>
      <c r="H25" s="6">
        <f>ROUND(H23*E25,0)</f>
        <v>227</v>
      </c>
    </row>
    <row r="26" spans="2:8" x14ac:dyDescent="0.3">
      <c r="E26" s="17"/>
      <c r="F26" s="19"/>
      <c r="G26" s="4"/>
      <c r="H26" s="6"/>
    </row>
    <row r="27" spans="2:8" x14ac:dyDescent="0.3">
      <c r="B27" t="s">
        <v>70</v>
      </c>
      <c r="E27" s="17">
        <f>VLOOKUP($A$4,zone_lu,6)</f>
        <v>0.1</v>
      </c>
      <c r="F27" s="19"/>
      <c r="G27" s="4"/>
      <c r="H27" s="6">
        <f>ROUND(SUM(H23:H26)*E27,0)</f>
        <v>174</v>
      </c>
    </row>
    <row r="28" spans="2:8" x14ac:dyDescent="0.3">
      <c r="E28" s="17"/>
      <c r="F28" s="19"/>
      <c r="G28" s="4"/>
      <c r="H28" s="6"/>
    </row>
    <row r="29" spans="2:8" x14ac:dyDescent="0.3">
      <c r="B29" t="s">
        <v>71</v>
      </c>
      <c r="E29" s="17">
        <f>VLOOKUP($A$4,zone_lu,7)</f>
        <v>1.2500000000000001E-2</v>
      </c>
      <c r="F29" s="19"/>
      <c r="G29" s="4"/>
      <c r="H29" s="6">
        <f>ROUND(SUM(H23:H28)*E29,0)</f>
        <v>24</v>
      </c>
    </row>
    <row r="30" spans="2:8" x14ac:dyDescent="0.3">
      <c r="E30" s="17"/>
      <c r="F30" s="19"/>
      <c r="G30" s="4"/>
      <c r="H30" s="6"/>
    </row>
    <row r="31" spans="2:8" x14ac:dyDescent="0.3">
      <c r="F31" s="19"/>
      <c r="G31" s="4"/>
      <c r="H31" s="6">
        <f t="shared" ref="H31:H33" si="1">E31*G31</f>
        <v>0</v>
      </c>
    </row>
    <row r="32" spans="2:8" ht="15" thickBot="1" x14ac:dyDescent="0.35">
      <c r="B32" s="18" t="s">
        <v>42</v>
      </c>
      <c r="C32" s="18"/>
      <c r="D32" s="18"/>
      <c r="E32" s="18"/>
      <c r="F32" s="20"/>
      <c r="G32" s="21"/>
      <c r="H32" s="22">
        <f>SUBTOTAL(9,H6:H31)</f>
        <v>1937.7894919199998</v>
      </c>
    </row>
    <row r="33" spans="1:9" ht="15" thickTop="1" x14ac:dyDescent="0.3">
      <c r="E33" s="17"/>
      <c r="F33" s="19"/>
      <c r="G33" s="4"/>
      <c r="H33" s="6">
        <f t="shared" si="1"/>
        <v>0</v>
      </c>
    </row>
    <row r="34" spans="1:9" x14ac:dyDescent="0.3">
      <c r="A34" s="13"/>
      <c r="B34" s="13"/>
      <c r="C34" s="13"/>
      <c r="D34" s="13"/>
      <c r="E34" s="23"/>
      <c r="F34" s="14"/>
      <c r="G34" s="15"/>
      <c r="H34" s="16"/>
      <c r="I34" s="13"/>
    </row>
    <row r="35" spans="1:9" x14ac:dyDescent="0.3">
      <c r="A35" s="13"/>
      <c r="B35" s="13"/>
      <c r="C35" s="13"/>
      <c r="D35" s="13"/>
      <c r="E35" s="23"/>
      <c r="F35" s="14"/>
      <c r="G35" s="15"/>
      <c r="H35" s="16"/>
      <c r="I35" s="13"/>
    </row>
    <row r="36" spans="1:9" x14ac:dyDescent="0.3">
      <c r="A36" s="13"/>
      <c r="B36" s="13"/>
      <c r="C36" s="13"/>
      <c r="D36" s="13"/>
      <c r="E36" s="23"/>
      <c r="F36" s="14"/>
      <c r="G36" s="15"/>
      <c r="H36" s="16"/>
      <c r="I36" s="13"/>
    </row>
    <row r="37" spans="1:9" x14ac:dyDescent="0.3">
      <c r="A37" s="13"/>
      <c r="B37" s="13"/>
      <c r="C37" s="13"/>
      <c r="D37" s="13"/>
      <c r="E37" s="13"/>
      <c r="F37" s="13"/>
      <c r="G37" s="13"/>
      <c r="H37" s="13"/>
      <c r="I37" s="13"/>
    </row>
    <row r="38" spans="1:9" x14ac:dyDescent="0.3">
      <c r="A38" s="13"/>
      <c r="B38" s="13"/>
      <c r="C38" s="13"/>
      <c r="D38" s="13"/>
      <c r="E38" s="13"/>
      <c r="F38" s="13"/>
      <c r="G38" s="13"/>
      <c r="H38" s="16"/>
      <c r="I38" s="13"/>
    </row>
    <row r="39" spans="1:9" x14ac:dyDescent="0.3">
      <c r="A39" s="13"/>
      <c r="B39" s="13"/>
      <c r="C39" s="13"/>
      <c r="D39" s="13"/>
      <c r="E39" s="13"/>
      <c r="F39" s="13"/>
      <c r="G39" s="13"/>
      <c r="H39" s="13"/>
      <c r="I39" s="13"/>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6"/>
  <dimension ref="A1:O47"/>
  <sheetViews>
    <sheetView showGridLines="0" topLeftCell="A4" zoomScale="90" zoomScaleNormal="90" workbookViewId="0">
      <selection activeCell="C8" sqref="C8"/>
    </sheetView>
  </sheetViews>
  <sheetFormatPr defaultColWidth="9.109375" defaultRowHeight="14.4" x14ac:dyDescent="0.3"/>
  <cols>
    <col min="1" max="3" width="3.6640625" style="24" customWidth="1"/>
    <col min="4" max="4" width="34.33203125" style="24" bestFit="1" customWidth="1"/>
    <col min="5" max="5" width="9" style="24" customWidth="1"/>
    <col min="6" max="6" width="6.6640625" style="24" customWidth="1"/>
    <col min="7" max="7" width="9.109375" style="24"/>
    <col min="8" max="8" width="9.109375" style="24" bestFit="1" customWidth="1"/>
    <col min="9" max="16384" width="9.109375" style="24"/>
  </cols>
  <sheetData>
    <row r="1" spans="1:15" x14ac:dyDescent="0.3">
      <c r="A1" s="24" t="s">
        <v>46</v>
      </c>
      <c r="O1" s="24" t="str">
        <f>A1&amp;": "&amp;A2</f>
        <v>Single Family: 1990's</v>
      </c>
    </row>
    <row r="2" spans="1:15" x14ac:dyDescent="0.3">
      <c r="A2" s="24" t="s">
        <v>15</v>
      </c>
    </row>
    <row r="3" spans="1:15" x14ac:dyDescent="0.3">
      <c r="A3" s="24" t="s">
        <v>27</v>
      </c>
    </row>
    <row r="4" spans="1:15" x14ac:dyDescent="0.3">
      <c r="A4" s="75">
        <v>3</v>
      </c>
      <c r="B4" s="75"/>
      <c r="C4" s="75"/>
    </row>
    <row r="5" spans="1:15" x14ac:dyDescent="0.3">
      <c r="F5" s="19"/>
      <c r="G5" s="25"/>
      <c r="H5" s="26"/>
    </row>
    <row r="6" spans="1:15" x14ac:dyDescent="0.3">
      <c r="B6" s="24" t="s">
        <v>32</v>
      </c>
      <c r="F6" s="19"/>
      <c r="G6" s="25"/>
      <c r="H6" s="26"/>
    </row>
    <row r="7" spans="1:15" x14ac:dyDescent="0.3">
      <c r="C7" s="24" t="s">
        <v>44</v>
      </c>
      <c r="F7" s="19"/>
      <c r="G7" s="25"/>
      <c r="H7" s="26"/>
    </row>
    <row r="8" spans="1:15" x14ac:dyDescent="0.3">
      <c r="D8" s="24" t="s">
        <v>33</v>
      </c>
      <c r="E8" s="24">
        <v>2</v>
      </c>
      <c r="F8" s="19" t="s">
        <v>34</v>
      </c>
      <c r="G8" s="25">
        <f>VLOOKUP($A$4,zone_lu,4)</f>
        <v>58.866228829999997</v>
      </c>
      <c r="H8" s="27">
        <f>E8*G8</f>
        <v>117.73245765999999</v>
      </c>
    </row>
    <row r="9" spans="1:15" x14ac:dyDescent="0.3">
      <c r="D9" s="24" t="s">
        <v>35</v>
      </c>
      <c r="E9" s="24">
        <v>1</v>
      </c>
      <c r="F9" s="19" t="s">
        <v>36</v>
      </c>
      <c r="G9" s="25">
        <v>100</v>
      </c>
      <c r="H9" s="27">
        <f t="shared" ref="H9:H31" si="0">E9*G9</f>
        <v>100</v>
      </c>
    </row>
    <row r="10" spans="1:15" x14ac:dyDescent="0.3">
      <c r="E10" s="28"/>
      <c r="F10" s="29"/>
      <c r="G10" s="30"/>
      <c r="H10" s="31">
        <f>SUBTOTAL(9,H6:H9)</f>
        <v>217.73245765999999</v>
      </c>
    </row>
    <row r="11" spans="1:15" x14ac:dyDescent="0.3">
      <c r="F11" s="19"/>
      <c r="G11" s="25"/>
      <c r="H11" s="27">
        <f t="shared" si="0"/>
        <v>0</v>
      </c>
    </row>
    <row r="12" spans="1:15" x14ac:dyDescent="0.3">
      <c r="B12" s="24" t="s">
        <v>37</v>
      </c>
      <c r="F12" s="19"/>
      <c r="G12" s="25"/>
      <c r="H12" s="27">
        <f t="shared" si="0"/>
        <v>0</v>
      </c>
    </row>
    <row r="13" spans="1:15" x14ac:dyDescent="0.3">
      <c r="C13" s="24" t="s">
        <v>43</v>
      </c>
      <c r="F13" s="19"/>
      <c r="G13" s="25"/>
      <c r="H13" s="27">
        <f t="shared" si="0"/>
        <v>0</v>
      </c>
    </row>
    <row r="14" spans="1:15" x14ac:dyDescent="0.3">
      <c r="D14" s="24" t="s">
        <v>45</v>
      </c>
      <c r="E14" s="24">
        <v>1</v>
      </c>
      <c r="F14" s="19" t="s">
        <v>38</v>
      </c>
      <c r="G14" s="32">
        <v>715</v>
      </c>
      <c r="H14" s="27">
        <f t="shared" si="0"/>
        <v>715</v>
      </c>
    </row>
    <row r="15" spans="1:15" ht="28.8" x14ac:dyDescent="0.3">
      <c r="D15" s="12" t="s">
        <v>56</v>
      </c>
      <c r="F15" s="19"/>
      <c r="G15" s="25"/>
      <c r="H15" s="27">
        <f t="shared" si="0"/>
        <v>0</v>
      </c>
    </row>
    <row r="16" spans="1:15" x14ac:dyDescent="0.3">
      <c r="D16" s="1" t="s">
        <v>39</v>
      </c>
      <c r="E16" s="24">
        <v>1</v>
      </c>
      <c r="F16" s="19" t="s">
        <v>36</v>
      </c>
      <c r="G16" s="25">
        <v>50</v>
      </c>
      <c r="H16" s="27">
        <f t="shared" si="0"/>
        <v>50</v>
      </c>
    </row>
    <row r="17" spans="2:8" x14ac:dyDescent="0.3">
      <c r="D17" s="24" t="s">
        <v>33</v>
      </c>
      <c r="E17" s="24">
        <v>4</v>
      </c>
      <c r="F17" s="19" t="s">
        <v>34</v>
      </c>
      <c r="G17" s="25">
        <f>VLOOKUP($A$4,zone_lu,4)</f>
        <v>58.866228829999997</v>
      </c>
      <c r="H17" s="27">
        <f t="shared" si="0"/>
        <v>235.46491531999999</v>
      </c>
    </row>
    <row r="18" spans="2:8" x14ac:dyDescent="0.3">
      <c r="C18" s="24" t="s">
        <v>48</v>
      </c>
      <c r="F18" s="19"/>
      <c r="G18" s="25"/>
      <c r="H18" s="27">
        <f t="shared" si="0"/>
        <v>0</v>
      </c>
    </row>
    <row r="19" spans="2:8" x14ac:dyDescent="0.3">
      <c r="D19" s="24" t="s">
        <v>78</v>
      </c>
      <c r="F19" s="19"/>
      <c r="G19" s="25"/>
      <c r="H19" s="27"/>
    </row>
    <row r="20" spans="2:8" ht="28.8" x14ac:dyDescent="0.3">
      <c r="D20" s="45" t="s">
        <v>76</v>
      </c>
      <c r="E20" s="24">
        <v>1</v>
      </c>
      <c r="F20" s="19" t="s">
        <v>36</v>
      </c>
      <c r="G20" s="25">
        <v>125</v>
      </c>
      <c r="H20" s="27">
        <f t="shared" si="0"/>
        <v>125</v>
      </c>
    </row>
    <row r="21" spans="2:8" x14ac:dyDescent="0.3">
      <c r="D21" s="46" t="s">
        <v>77</v>
      </c>
      <c r="E21" s="24">
        <v>1</v>
      </c>
      <c r="F21" s="19" t="s">
        <v>36</v>
      </c>
      <c r="G21" s="25">
        <v>50</v>
      </c>
      <c r="H21" s="27">
        <f t="shared" si="0"/>
        <v>50</v>
      </c>
    </row>
    <row r="22" spans="2:8" x14ac:dyDescent="0.3">
      <c r="D22" s="24" t="s">
        <v>33</v>
      </c>
      <c r="E22" s="24">
        <v>2</v>
      </c>
      <c r="F22" s="19" t="s">
        <v>34</v>
      </c>
      <c r="G22" s="25">
        <f>VLOOKUP($A$4,zone_lu,4)</f>
        <v>58.866228829999997</v>
      </c>
      <c r="H22" s="27">
        <f t="shared" si="0"/>
        <v>117.73245765999999</v>
      </c>
    </row>
    <row r="23" spans="2:8" x14ac:dyDescent="0.3">
      <c r="C23" t="s">
        <v>86</v>
      </c>
      <c r="D23"/>
      <c r="E23"/>
      <c r="F23" s="19"/>
      <c r="G23" s="4"/>
      <c r="H23" s="6"/>
    </row>
    <row r="24" spans="2:8" x14ac:dyDescent="0.3">
      <c r="C24"/>
      <c r="D24" t="s">
        <v>87</v>
      </c>
      <c r="E24" s="51"/>
      <c r="F24" s="43"/>
      <c r="G24" s="11"/>
      <c r="H24" s="53" t="s">
        <v>28</v>
      </c>
    </row>
    <row r="25" spans="2:8" x14ac:dyDescent="0.3">
      <c r="C25"/>
      <c r="D25" t="s">
        <v>88</v>
      </c>
      <c r="E25" s="51"/>
      <c r="F25" s="43"/>
      <c r="G25" s="11"/>
      <c r="H25" s="53" t="s">
        <v>82</v>
      </c>
    </row>
    <row r="26" spans="2:8" x14ac:dyDescent="0.3">
      <c r="C26"/>
      <c r="D26" t="s">
        <v>89</v>
      </c>
      <c r="E26" s="51"/>
      <c r="F26" s="43"/>
      <c r="G26" s="11"/>
      <c r="H26" s="53" t="s">
        <v>28</v>
      </c>
    </row>
    <row r="27" spans="2:8" x14ac:dyDescent="0.3">
      <c r="C27"/>
      <c r="D27" t="s">
        <v>33</v>
      </c>
      <c r="E27" s="51"/>
      <c r="F27" s="43"/>
      <c r="G27" s="11"/>
      <c r="H27" s="53" t="s">
        <v>28</v>
      </c>
    </row>
    <row r="28" spans="2:8" x14ac:dyDescent="0.3">
      <c r="E28" s="28"/>
      <c r="F28" s="29"/>
      <c r="G28" s="30"/>
      <c r="H28" s="31">
        <f>SUBTOTAL(9,H12:H27)</f>
        <v>1293.19737298</v>
      </c>
    </row>
    <row r="29" spans="2:8" x14ac:dyDescent="0.3">
      <c r="E29" s="33"/>
      <c r="F29" s="34"/>
      <c r="G29" s="35"/>
      <c r="H29" s="36"/>
    </row>
    <row r="30" spans="2:8" x14ac:dyDescent="0.3">
      <c r="C30" s="24" t="s">
        <v>40</v>
      </c>
      <c r="E30" s="33"/>
      <c r="F30" s="34"/>
      <c r="G30" s="35"/>
      <c r="H30" s="36">
        <f>SUBTOTAL(9,H6:H29)</f>
        <v>1510.9298306399999</v>
      </c>
    </row>
    <row r="31" spans="2:8" x14ac:dyDescent="0.3">
      <c r="F31" s="19"/>
      <c r="G31" s="25"/>
      <c r="H31" s="27">
        <f t="shared" si="0"/>
        <v>0</v>
      </c>
    </row>
    <row r="32" spans="2:8" x14ac:dyDescent="0.3">
      <c r="B32" s="24" t="s">
        <v>41</v>
      </c>
      <c r="E32" s="50">
        <f>VLOOKUP($A$4,zone_lu,5)</f>
        <v>0.15</v>
      </c>
      <c r="F32" s="19"/>
      <c r="G32" s="25"/>
      <c r="H32" s="27">
        <f>ROUND(H30*E32,0)</f>
        <v>227</v>
      </c>
    </row>
    <row r="33" spans="1:9" x14ac:dyDescent="0.3">
      <c r="E33" s="50"/>
      <c r="F33" s="19"/>
      <c r="G33" s="25"/>
      <c r="H33" s="27"/>
    </row>
    <row r="34" spans="1:9" x14ac:dyDescent="0.3">
      <c r="B34" s="24" t="s">
        <v>70</v>
      </c>
      <c r="E34" s="50">
        <f>VLOOKUP($A$4,zone_lu,6)</f>
        <v>0.1</v>
      </c>
      <c r="F34" s="19"/>
      <c r="G34" s="25"/>
      <c r="H34" s="27">
        <f>ROUND(SUM(H30:H33)*E34,0)</f>
        <v>174</v>
      </c>
    </row>
    <row r="35" spans="1:9" x14ac:dyDescent="0.3">
      <c r="E35" s="50"/>
      <c r="F35" s="19"/>
      <c r="G35" s="25"/>
      <c r="H35" s="27"/>
    </row>
    <row r="36" spans="1:9" x14ac:dyDescent="0.3">
      <c r="B36" t="s">
        <v>85</v>
      </c>
      <c r="E36" s="50">
        <f>VLOOKUP($A$4,zone_lu,7)</f>
        <v>1.2500000000000001E-2</v>
      </c>
      <c r="F36" s="19"/>
      <c r="G36" s="25"/>
      <c r="H36" s="27">
        <f>ROUND(SUM(H30:H35)*E36,0)</f>
        <v>24</v>
      </c>
    </row>
    <row r="37" spans="1:9" x14ac:dyDescent="0.3">
      <c r="E37" s="50"/>
      <c r="F37" s="19"/>
      <c r="G37" s="25"/>
      <c r="H37" s="27"/>
    </row>
    <row r="38" spans="1:9" x14ac:dyDescent="0.3">
      <c r="B38" s="24" t="s">
        <v>71</v>
      </c>
      <c r="E38" s="50">
        <f>VLOOKUP($A$4,zone_lu,8)</f>
        <v>0</v>
      </c>
      <c r="F38" s="19"/>
      <c r="G38" s="25"/>
      <c r="H38" s="27">
        <f>ROUND(SUM(H30:H37)*E38,0)</f>
        <v>0</v>
      </c>
    </row>
    <row r="39" spans="1:9" x14ac:dyDescent="0.3">
      <c r="F39" s="19"/>
      <c r="G39" s="25"/>
      <c r="H39" s="27">
        <f t="shared" ref="H39:H41" si="1">E39*G39</f>
        <v>0</v>
      </c>
    </row>
    <row r="40" spans="1:9" ht="15" thickBot="1" x14ac:dyDescent="0.35">
      <c r="B40" s="38" t="s">
        <v>42</v>
      </c>
      <c r="C40" s="38"/>
      <c r="D40" s="38"/>
      <c r="E40" s="38"/>
      <c r="F40" s="20"/>
      <c r="G40" s="39"/>
      <c r="H40" s="40">
        <f>SUBTOTAL(9,H6:H39)</f>
        <v>1935.9298306399999</v>
      </c>
    </row>
    <row r="41" spans="1:9" ht="15" thickTop="1" x14ac:dyDescent="0.3">
      <c r="E41" s="37"/>
      <c r="F41" s="19"/>
      <c r="G41" s="25"/>
      <c r="H41" s="27">
        <f t="shared" si="1"/>
        <v>0</v>
      </c>
    </row>
    <row r="42" spans="1:9" x14ac:dyDescent="0.3">
      <c r="A42" s="33"/>
      <c r="B42" s="33"/>
      <c r="C42" s="33"/>
      <c r="D42" s="33"/>
      <c r="E42" s="41"/>
      <c r="F42" s="34"/>
      <c r="G42" s="35"/>
      <c r="H42" s="36"/>
      <c r="I42" s="33"/>
    </row>
    <row r="43" spans="1:9" x14ac:dyDescent="0.3">
      <c r="A43" s="33"/>
      <c r="B43" s="33"/>
      <c r="C43" s="33"/>
      <c r="D43" s="33"/>
      <c r="E43" s="41"/>
      <c r="F43" s="34"/>
      <c r="G43" s="35"/>
      <c r="H43" s="36"/>
      <c r="I43" s="33"/>
    </row>
    <row r="44" spans="1:9" x14ac:dyDescent="0.3">
      <c r="A44" s="33"/>
      <c r="B44" s="33"/>
      <c r="C44" s="33"/>
      <c r="D44" s="33"/>
      <c r="E44" s="41"/>
      <c r="F44" s="34"/>
      <c r="G44" s="35"/>
      <c r="H44" s="36"/>
      <c r="I44" s="33"/>
    </row>
    <row r="45" spans="1:9" x14ac:dyDescent="0.3">
      <c r="A45" s="33"/>
      <c r="B45" s="33"/>
      <c r="C45" s="33"/>
      <c r="D45" s="33"/>
      <c r="E45" s="33"/>
      <c r="F45" s="33"/>
      <c r="G45" s="33"/>
      <c r="H45" s="33"/>
      <c r="I45" s="33"/>
    </row>
    <row r="46" spans="1:9" x14ac:dyDescent="0.3">
      <c r="A46" s="33"/>
      <c r="B46" s="33"/>
      <c r="C46" s="33"/>
      <c r="D46" s="33"/>
      <c r="E46" s="33"/>
      <c r="F46" s="33"/>
      <c r="G46" s="33"/>
      <c r="H46" s="36"/>
      <c r="I46" s="33"/>
    </row>
    <row r="47" spans="1:9" x14ac:dyDescent="0.3">
      <c r="A47" s="33"/>
      <c r="B47" s="33"/>
      <c r="C47" s="33"/>
      <c r="D47" s="33"/>
      <c r="E47" s="33"/>
      <c r="F47" s="33"/>
      <c r="G47" s="33"/>
      <c r="H47" s="33"/>
      <c r="I47" s="33"/>
    </row>
  </sheetData>
  <mergeCells count="1">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4" ma:contentTypeDescription="Create a new document." ma:contentTypeScope="" ma:versionID="9bd8d3c5935ea9f62338ade1811e2de8">
  <xsd:schema xmlns:xsd="http://www.w3.org/2001/XMLSchema" xmlns:xs="http://www.w3.org/2001/XMLSchema" xmlns:p="http://schemas.microsoft.com/office/2006/metadata/properties" xmlns:ns2="ef9f164f-ce5d-4991-85c4-789d412dc4b5" targetNamespace="http://schemas.microsoft.com/office/2006/metadata/properties" ma:root="true" ma:fieldsID="620ed459441f8b767768d1b4bba09e67"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8A74CE-8123-4A10-9BA8-F5C1A3108116}">
  <ds:schemaRefs>
    <ds:schemaRef ds:uri="http://schemas.microsoft.com/sharepoint/v3/contenttype/forms"/>
  </ds:schemaRefs>
</ds:datastoreItem>
</file>

<file path=customXml/itemProps2.xml><?xml version="1.0" encoding="utf-8"?>
<ds:datastoreItem xmlns:ds="http://schemas.openxmlformats.org/officeDocument/2006/customXml" ds:itemID="{5E8B6457-3FEA-4523-95F3-10A346887DB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3794EE3-BDAC-426A-BA5C-3956EA0FB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9f164f-ce5d-4991-85c4-789d412dc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86</vt:i4>
      </vt:variant>
      <vt:variant>
        <vt:lpstr>Named Ranges</vt:lpstr>
      </vt:variant>
      <vt:variant>
        <vt:i4>1</vt:i4>
      </vt:variant>
    </vt:vector>
  </HeadingPairs>
  <TitlesOfParts>
    <vt:vector size="87" baseType="lpstr">
      <vt:lpstr>Summary</vt:lpstr>
      <vt:lpstr>Cost Assumptions</vt:lpstr>
      <vt:lpstr>SF NC Gas WH Z12 gas storage</vt:lpstr>
      <vt:lpstr>SF 90 Gas WH Z12</vt:lpstr>
      <vt:lpstr>Water and Cooking</vt:lpstr>
      <vt:lpstr>SF NC Gas WH Z3</vt:lpstr>
      <vt:lpstr>SF NC Electric WH Z3 S</vt:lpstr>
      <vt:lpstr>SF NC Electric WH Z3 O2</vt:lpstr>
      <vt:lpstr>SF 90 Gas WH Z3</vt:lpstr>
      <vt:lpstr>SF 90 Electric WH Z3 S</vt:lpstr>
      <vt:lpstr>SF 90 Electric WH Z3 O1</vt:lpstr>
      <vt:lpstr>SF 90 Electric WH Z3 O2</vt:lpstr>
      <vt:lpstr>SF 78 Gas WH Z3</vt:lpstr>
      <vt:lpstr>SF 78 Electric WH Z3 S</vt:lpstr>
      <vt:lpstr>SF 78 Electric WH Z3 O1</vt:lpstr>
      <vt:lpstr>SF 78 Electric WH Z3 O2</vt:lpstr>
      <vt:lpstr>SF NC Gas WH Z4</vt:lpstr>
      <vt:lpstr>SF NC Electric WH Z4 S</vt:lpstr>
      <vt:lpstr>SF NC Electric WH Z4 O1</vt:lpstr>
      <vt:lpstr>SF NC Electric WH Z4 O2</vt:lpstr>
      <vt:lpstr>SF 90 Gas WH Z4</vt:lpstr>
      <vt:lpstr>SF 90 Electric WH Z4 S</vt:lpstr>
      <vt:lpstr>SF 90 Electric WH Z4 O1</vt:lpstr>
      <vt:lpstr>SF 90 Electric WH Z4 O2</vt:lpstr>
      <vt:lpstr>SF 78 Gas WH Z4</vt:lpstr>
      <vt:lpstr>SF 78 Electric WH Z4 S</vt:lpstr>
      <vt:lpstr>SF 78 Electric WH Z4 O1</vt:lpstr>
      <vt:lpstr>SF 78 Electric WH Z4 O2</vt:lpstr>
      <vt:lpstr>SF NC Gas WH Z6</vt:lpstr>
      <vt:lpstr>SF NC Electric WH Z6 S</vt:lpstr>
      <vt:lpstr>SF NC Electric WH Z6 O1</vt:lpstr>
      <vt:lpstr>SF NC Electric WH Z6 O2</vt:lpstr>
      <vt:lpstr>SF 90 Gas WH Z6</vt:lpstr>
      <vt:lpstr>SF 90 Electric WH Z6 S</vt:lpstr>
      <vt:lpstr>SF 90 Electric WH Z6 O1</vt:lpstr>
      <vt:lpstr>SF 90 Electric WH Z6 O2</vt:lpstr>
      <vt:lpstr>SF 78 Gas WH Z6</vt:lpstr>
      <vt:lpstr>SF 78 Electric WH Z6 S</vt:lpstr>
      <vt:lpstr>SF 78 Electric WH Z6 O1</vt:lpstr>
      <vt:lpstr>SF 78 Electric WH Z6 O2</vt:lpstr>
      <vt:lpstr>SF NC Electric WH Z3 ER</vt:lpstr>
      <vt:lpstr>SF NC Gas WH Z9</vt:lpstr>
      <vt:lpstr>SF NC Electric WH Z9 S</vt:lpstr>
      <vt:lpstr>SF NC Electric WH Z9 O1</vt:lpstr>
      <vt:lpstr>SF NC Electric WH Z9 O2</vt:lpstr>
      <vt:lpstr>SF 90 Gas WH Z9</vt:lpstr>
      <vt:lpstr>SF 90 Electric WH Z9 S</vt:lpstr>
      <vt:lpstr>SF 90 Electric WH Z9 O1</vt:lpstr>
      <vt:lpstr>SF 90 Electric WH Z9 O2</vt:lpstr>
      <vt:lpstr>SF 78 Gas WH Z9</vt:lpstr>
      <vt:lpstr>SF 78 Electric WH Z9 S</vt:lpstr>
      <vt:lpstr>SF 78 Electric WH Z9 O1</vt:lpstr>
      <vt:lpstr>SF 78 Electric WH Z9 O2</vt:lpstr>
      <vt:lpstr>SF NC Gas WH Z10</vt:lpstr>
      <vt:lpstr>SF NC Electric WH Z10 S</vt:lpstr>
      <vt:lpstr>SF NC Electric WH Z10 O1</vt:lpstr>
      <vt:lpstr>SF NC Electric WH Z10 O2</vt:lpstr>
      <vt:lpstr>SF 90 Gas WH Z10</vt:lpstr>
      <vt:lpstr>SF 90 Electric WH Z10 S</vt:lpstr>
      <vt:lpstr>SF 90 Electric WH Z10 O1</vt:lpstr>
      <vt:lpstr>SF 90 Electric WH Z10 O2</vt:lpstr>
      <vt:lpstr>SF 78 Gas WH Z10</vt:lpstr>
      <vt:lpstr>SF 78 Electric WH Z10 S</vt:lpstr>
      <vt:lpstr>SF 78 Electric WH Z10 O1</vt:lpstr>
      <vt:lpstr>SF 78 Electric WH Z10 O2</vt:lpstr>
      <vt:lpstr>SF NC Gas WH Z12</vt:lpstr>
      <vt:lpstr>SF NC Electric WH Z12 S</vt:lpstr>
      <vt:lpstr>SF NC Electric WH Z12 O1</vt:lpstr>
      <vt:lpstr>SF NC Electric WH Z12 O2</vt:lpstr>
      <vt:lpstr>SF 90 Electric WH Z12 S</vt:lpstr>
      <vt:lpstr>SF 90 Electric WH Z12 O1</vt:lpstr>
      <vt:lpstr>SF 90 Electric WH Z12 O2</vt:lpstr>
      <vt:lpstr>SF 78 Gas WH Z12</vt:lpstr>
      <vt:lpstr>SF 78 Electric WH Z12 S</vt:lpstr>
      <vt:lpstr>SF 78 Electric WH Z12 O1</vt:lpstr>
      <vt:lpstr>SF 78 Electric WH Z12 O2</vt:lpstr>
      <vt:lpstr>LRMF NC Gas</vt:lpstr>
      <vt:lpstr>LRMF NC Electric S</vt:lpstr>
      <vt:lpstr>LRMF NC Electric O1</vt:lpstr>
      <vt:lpstr>LRMF NC Electric O2</vt:lpstr>
      <vt:lpstr>LRMF 90 Gas</vt:lpstr>
      <vt:lpstr>LRMF 90 Electric S</vt:lpstr>
      <vt:lpstr>LRMF 90 Electric O1</vt:lpstr>
      <vt:lpstr>LRMF 90 Electric O2</vt:lpstr>
      <vt:lpstr>LRMF 78 Gas</vt:lpstr>
      <vt:lpstr>LRMF 78 Electric S</vt:lpstr>
      <vt:lpstr>zone_lu</vt:lpstr>
    </vt:vector>
  </TitlesOfParts>
  <Company>AECOM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Morris, Michael</dc:creator>
  <cp:lastModifiedBy>Michael Sontag</cp:lastModifiedBy>
  <dcterms:created xsi:type="dcterms:W3CDTF">2018-07-23T21:27:16Z</dcterms:created>
  <dcterms:modified xsi:type="dcterms:W3CDTF">2021-06-15T00:21:20Z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