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codeName="ThisWorkbook"/>
  <mc:AlternateContent xmlns:mc="http://schemas.openxmlformats.org/markup-compatibility/2006">
    <mc:Choice Requires="x15">
      <x15ac:absPath xmlns:x15ac="http://schemas.microsoft.com/office/spreadsheetml/2010/11/ac" url="https://ethreesf.sharepoint.com/sites/BEIUtahElectrification1714/Shared Documents/General/Data/Technology Costs/Deliverables/Updated 2021-06-11/"/>
    </mc:Choice>
  </mc:AlternateContent>
  <xr:revisionPtr revIDLastSave="493" documentId="13_ncr:1_{F7B1313E-DD91-4A15-AFF0-123FB51F618A}" xr6:coauthVersionLast="47" xr6:coauthVersionMax="47" xr10:uidLastSave="{F9C49018-E312-4426-9E8D-7C748F866756}"/>
  <bookViews>
    <workbookView minimized="1" xWindow="2436" yWindow="3780" windowWidth="17280" windowHeight="8580" tabRatio="888" xr2:uid="{00000000-000D-0000-FFFF-FFFF00000000}"/>
  </bookViews>
  <sheets>
    <sheet name="Summary" sheetId="129" r:id="rId1"/>
    <sheet name="Cost Assumptions" sheetId="128" r:id="rId2"/>
    <sheet name="LRMF NC Elec Baseboard" sheetId="134" r:id="rId3"/>
    <sheet name="LRMF NC Gas Condensing" sheetId="135" r:id="rId4"/>
    <sheet name="LRMF NC Gas Z3" sheetId="3" r:id="rId5"/>
    <sheet name="LRMF NC Gas Z4" sheetId="6" r:id="rId6"/>
    <sheet name="LRMF NC Gas Z6" sheetId="45" r:id="rId7"/>
    <sheet name="LRMF NC Gas Z9" sheetId="47" state="hidden" r:id="rId8"/>
    <sheet name="LRMF NC Gas Z10" sheetId="49" r:id="rId9"/>
    <sheet name="LRMF NC Gas Z12" sheetId="51" state="hidden" r:id="rId10"/>
    <sheet name="LRMF 90 Gas Z3" sheetId="5" state="hidden" r:id="rId11"/>
    <sheet name="LRMF 90 Gas Z4" sheetId="9" state="hidden" r:id="rId12"/>
    <sheet name="LRMF 90 Gas Z6" sheetId="53" state="hidden" r:id="rId13"/>
    <sheet name="LRMF 90 Gas Z9" sheetId="55" state="hidden" r:id="rId14"/>
    <sheet name="LRMF 90 Gas Z10" sheetId="57" state="hidden" r:id="rId15"/>
    <sheet name="LRMF 90 Gas Z12" sheetId="59" state="hidden" r:id="rId16"/>
    <sheet name="LRMF 78 Gas Z3" sheetId="11" state="hidden" r:id="rId17"/>
    <sheet name="LRMF 78 Gas Z4" sheetId="12" state="hidden" r:id="rId18"/>
    <sheet name="LRMF 78 Gas Z6" sheetId="62" state="hidden" r:id="rId19"/>
    <sheet name="LRMF 78 Gas Z9" sheetId="64" state="hidden" r:id="rId20"/>
    <sheet name="LRMF 78 Gas Z10" sheetId="13" state="hidden" r:id="rId21"/>
    <sheet name="LRMF 78 Gas Z12" sheetId="66" state="hidden" r:id="rId22"/>
    <sheet name="LRMF NC Electric Z3 S" sheetId="4" r:id="rId23"/>
    <sheet name="LRMF NC Electric Z3 O1" sheetId="117" r:id="rId24"/>
    <sheet name="LRMF NC Electric Z3 O2" sheetId="118" r:id="rId25"/>
    <sheet name="LRMF NC Electric Z4" sheetId="7" state="hidden" r:id="rId26"/>
    <sheet name="LRMF NC Electric Z4 O2" sheetId="130" state="hidden" r:id="rId27"/>
    <sheet name="LRMF NC Electric Z6" sheetId="46" r:id="rId28"/>
    <sheet name="LRMF NC Electric Z6 O2" sheetId="131" r:id="rId29"/>
    <sheet name="LRMF NC Electric Z9" sheetId="48" state="hidden" r:id="rId30"/>
    <sheet name="LRMF NC Electric Z9 O2" sheetId="132" state="hidden" r:id="rId31"/>
    <sheet name="LRMF NC Electric Z10" sheetId="50" r:id="rId32"/>
    <sheet name="LRMF NC Electric Z12" sheetId="52" state="hidden" r:id="rId33"/>
    <sheet name="LRMF NC Electric Z12 O2" sheetId="133" r:id="rId34"/>
    <sheet name="LRMF NC Electric Z3 S DL" sheetId="136" r:id="rId35"/>
    <sheet name="LRMF NC Electric Z3 O1 DL" sheetId="137" r:id="rId36"/>
    <sheet name="LRMF NC Electric Z3 O2 DL" sheetId="138" r:id="rId37"/>
    <sheet name="LRMF NC Electric Z6 DL" sheetId="139" r:id="rId38"/>
    <sheet name="LRMF NC Electric Z6 O2 DL" sheetId="140" r:id="rId39"/>
    <sheet name="LRMF NC Electric Z10 DL" sheetId="141" r:id="rId40"/>
    <sheet name="LRMF NC Electric Z12 O2 DL" sheetId="142" r:id="rId41"/>
    <sheet name="LRMF 90 Electric Z3 S" sheetId="8" state="hidden" r:id="rId42"/>
    <sheet name="LRMF 90 Electric Z3 O1" sheetId="119" state="hidden" r:id="rId43"/>
    <sheet name="LRMF 90 Electric Z3 O2" sheetId="120" state="hidden" r:id="rId44"/>
    <sheet name="LRMF 90 Electric Z4" sheetId="10" state="hidden" r:id="rId45"/>
    <sheet name="LRMF 90 Electric Z6" sheetId="54" state="hidden" r:id="rId46"/>
    <sheet name="LRMF 90 Electric Z9" sheetId="56" state="hidden" r:id="rId47"/>
    <sheet name="LRMF 90 Electric Z10" sheetId="58" state="hidden" r:id="rId48"/>
    <sheet name="LRMF 90 Electric Z12" sheetId="60" state="hidden" r:id="rId49"/>
    <sheet name="LRMF 78 Electric Z3 S" sheetId="14" state="hidden" r:id="rId50"/>
    <sheet name="LRMF 78 Electric Z3 O1" sheetId="121" state="hidden" r:id="rId51"/>
    <sheet name="LRMF 78 Electric Z4" sheetId="15" state="hidden" r:id="rId52"/>
    <sheet name="LRMF 78 Electric Z6" sheetId="63" state="hidden" r:id="rId53"/>
    <sheet name="LRMF 78 Electric Z9" sheetId="65" state="hidden" r:id="rId54"/>
    <sheet name="LRMF 78 Electric Z10" sheetId="16" state="hidden" r:id="rId55"/>
    <sheet name="LRMF 78 Electric Z12" sheetId="67" state="hidden" r:id="rId56"/>
    <sheet name="HRMF NC Gas Z3" sheetId="30" state="hidden" r:id="rId57"/>
    <sheet name="HRMF NC Electric Z3" sheetId="32" state="hidden" r:id="rId58"/>
    <sheet name="HRMF NC Gas Z4" sheetId="31" state="hidden" r:id="rId59"/>
    <sheet name="HRMF NC Electric Z4" sheetId="33" state="hidden" r:id="rId60"/>
    <sheet name="HRMF NC Gas Z6" sheetId="93" state="hidden" r:id="rId61"/>
    <sheet name="HRMF NC Electric Z6" sheetId="94" state="hidden" r:id="rId62"/>
    <sheet name="HRMF NC Gas Z9" sheetId="95" state="hidden" r:id="rId63"/>
    <sheet name="HRMF NC Electric Z9" sheetId="96" state="hidden" r:id="rId64"/>
    <sheet name="HRMF NC Gas Z10" sheetId="97" state="hidden" r:id="rId65"/>
    <sheet name="HRMF NC Electric Z10" sheetId="98" state="hidden" r:id="rId66"/>
    <sheet name="HRMF NC Gas Z12" sheetId="99" state="hidden" r:id="rId67"/>
    <sheet name="HRMF NC Electric Z12" sheetId="100" state="hidden" r:id="rId68"/>
    <sheet name="HRMF 90 Gas Z3" sheetId="34" state="hidden" r:id="rId69"/>
    <sheet name="HRMF 90 Electric Z3" sheetId="36" state="hidden" r:id="rId70"/>
    <sheet name="HRMF 90 Gas Z4" sheetId="35" state="hidden" r:id="rId71"/>
    <sheet name="HRMF 90 Electric Z4" sheetId="37" state="hidden" r:id="rId72"/>
    <sheet name="HRMF 90 Gas Z6" sheetId="101" state="hidden" r:id="rId73"/>
    <sheet name="HRMF 90 Electric Z6" sheetId="102" state="hidden" r:id="rId74"/>
    <sheet name="HRMF 90 Gas Z9" sheetId="104" state="hidden" r:id="rId75"/>
    <sheet name="HRMF 90 Electric Z9" sheetId="103" state="hidden" r:id="rId76"/>
    <sheet name="HRMF 90 Gas Z10" sheetId="105" state="hidden" r:id="rId77"/>
    <sheet name="HRMF 90 Electric Z10" sheetId="106" state="hidden" r:id="rId78"/>
    <sheet name="HRMF 90 Gas Z12" sheetId="107" state="hidden" r:id="rId79"/>
    <sheet name="HRMF 90 Electric Z12" sheetId="108" state="hidden" r:id="rId80"/>
    <sheet name="HRMF 78 Gas Z3" sheetId="38" state="hidden" r:id="rId81"/>
    <sheet name="HRMF 78 Electric Z3" sheetId="40" state="hidden" r:id="rId82"/>
    <sheet name="HRMF 78 Gas Z4" sheetId="39" state="hidden" r:id="rId83"/>
    <sheet name="HRMF 78 Electric Z4" sheetId="41" state="hidden" r:id="rId84"/>
    <sheet name="HRMF 78 Gas Z6" sheetId="109" state="hidden" r:id="rId85"/>
    <sheet name="HRMF 78 Electric Z6" sheetId="110" state="hidden" r:id="rId86"/>
    <sheet name="HRMF 78 Gas Z9" sheetId="111" state="hidden" r:id="rId87"/>
    <sheet name="HRMF 78 Electric Z9" sheetId="112" state="hidden" r:id="rId88"/>
    <sheet name="HRMF 78 Gas Z10" sheetId="113" state="hidden" r:id="rId89"/>
    <sheet name="HRMF 78 Electric Z10" sheetId="114" state="hidden" r:id="rId90"/>
    <sheet name="HRMF 78 Gas Z12" sheetId="115" state="hidden" r:id="rId91"/>
    <sheet name="HRMF 78 Electric Z12" sheetId="116" state="hidden" r:id="rId92"/>
    <sheet name="HVAC" sheetId="1" state="hidden" r:id="rId93"/>
  </sheets>
  <definedNames>
    <definedName name="zone_lu">'Cost Assumptions'!$B$4:$I$9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9" i="136" l="1"/>
  <c r="G19" i="137"/>
  <c r="G19" i="138"/>
  <c r="G19" i="139"/>
  <c r="G19" i="140"/>
  <c r="G19" i="141"/>
  <c r="G19" i="142"/>
  <c r="E43" i="142"/>
  <c r="E41" i="142"/>
  <c r="I39" i="142"/>
  <c r="E39" i="142"/>
  <c r="H38" i="142"/>
  <c r="H32" i="142"/>
  <c r="H31" i="142"/>
  <c r="G31" i="142"/>
  <c r="E31" i="142"/>
  <c r="H28" i="142"/>
  <c r="H26" i="142"/>
  <c r="G24" i="142"/>
  <c r="H24" i="142" s="1"/>
  <c r="H35" i="142" s="1"/>
  <c r="H23" i="142"/>
  <c r="H22" i="142"/>
  <c r="H21" i="142"/>
  <c r="H20" i="142"/>
  <c r="H19" i="142"/>
  <c r="H18" i="142"/>
  <c r="H12" i="142"/>
  <c r="H11" i="142"/>
  <c r="H10" i="142"/>
  <c r="O1" i="142"/>
  <c r="E43" i="141"/>
  <c r="E41" i="141"/>
  <c r="I39" i="141"/>
  <c r="E39" i="141"/>
  <c r="H38" i="141"/>
  <c r="H32" i="141"/>
  <c r="G31" i="141"/>
  <c r="E31" i="141"/>
  <c r="H31" i="141" s="1"/>
  <c r="H28" i="141"/>
  <c r="H26" i="141"/>
  <c r="G24" i="141"/>
  <c r="H24" i="141" s="1"/>
  <c r="H23" i="141"/>
  <c r="H22" i="141"/>
  <c r="H21" i="141"/>
  <c r="H20" i="141"/>
  <c r="H19" i="141"/>
  <c r="H18" i="141"/>
  <c r="H12" i="141"/>
  <c r="H11" i="141"/>
  <c r="H10" i="141"/>
  <c r="O1" i="141"/>
  <c r="E43" i="140"/>
  <c r="E41" i="140"/>
  <c r="I39" i="140"/>
  <c r="E39" i="140"/>
  <c r="H38" i="140"/>
  <c r="H32" i="140"/>
  <c r="G31" i="140"/>
  <c r="E31" i="140"/>
  <c r="H31" i="140" s="1"/>
  <c r="H28" i="140"/>
  <c r="H26" i="140"/>
  <c r="H24" i="140"/>
  <c r="G24" i="140"/>
  <c r="H23" i="140"/>
  <c r="H22" i="140"/>
  <c r="H21" i="140"/>
  <c r="H20" i="140"/>
  <c r="H19" i="140"/>
  <c r="H18" i="140"/>
  <c r="H12" i="140"/>
  <c r="H11" i="140"/>
  <c r="H10" i="140"/>
  <c r="O1" i="140"/>
  <c r="E43" i="139"/>
  <c r="E41" i="139"/>
  <c r="I39" i="139"/>
  <c r="E39" i="139"/>
  <c r="H38" i="139"/>
  <c r="H32" i="139"/>
  <c r="G31" i="139"/>
  <c r="E31" i="139"/>
  <c r="H31" i="139" s="1"/>
  <c r="H28" i="139"/>
  <c r="H26" i="139"/>
  <c r="G24" i="139"/>
  <c r="H24" i="139" s="1"/>
  <c r="H23" i="139"/>
  <c r="H22" i="139"/>
  <c r="H21" i="139"/>
  <c r="H20" i="139"/>
  <c r="H19" i="139"/>
  <c r="H18" i="139"/>
  <c r="H12" i="139"/>
  <c r="H11" i="139"/>
  <c r="H10" i="139"/>
  <c r="O1" i="139"/>
  <c r="E43" i="138"/>
  <c r="E41" i="138"/>
  <c r="I39" i="138"/>
  <c r="E39" i="138"/>
  <c r="H38" i="138"/>
  <c r="H32" i="138"/>
  <c r="H31" i="138"/>
  <c r="G31" i="138"/>
  <c r="E31" i="138"/>
  <c r="H28" i="138"/>
  <c r="H26" i="138"/>
  <c r="G24" i="138"/>
  <c r="H24" i="138" s="1"/>
  <c r="H23" i="138"/>
  <c r="H22" i="138"/>
  <c r="H35" i="138" s="1"/>
  <c r="H21" i="138"/>
  <c r="H20" i="138"/>
  <c r="H19" i="138"/>
  <c r="H18" i="138"/>
  <c r="H12" i="138"/>
  <c r="H11" i="138"/>
  <c r="H10" i="138"/>
  <c r="O1" i="138"/>
  <c r="E43" i="137"/>
  <c r="E41" i="137"/>
  <c r="I39" i="137"/>
  <c r="E39" i="137"/>
  <c r="H38" i="137"/>
  <c r="H32" i="137"/>
  <c r="G31" i="137"/>
  <c r="E31" i="137"/>
  <c r="H31" i="137" s="1"/>
  <c r="H28" i="137"/>
  <c r="H26" i="137"/>
  <c r="G24" i="137"/>
  <c r="H24" i="137" s="1"/>
  <c r="H23" i="137"/>
  <c r="H22" i="137"/>
  <c r="H21" i="137"/>
  <c r="H20" i="137"/>
  <c r="H19" i="137"/>
  <c r="H18" i="137"/>
  <c r="H12" i="137"/>
  <c r="H11" i="137"/>
  <c r="H10" i="137"/>
  <c r="O1" i="137"/>
  <c r="E43" i="136"/>
  <c r="E41" i="136"/>
  <c r="I39" i="136"/>
  <c r="E39" i="136"/>
  <c r="H38" i="136"/>
  <c r="H32" i="136"/>
  <c r="G31" i="136"/>
  <c r="E31" i="136"/>
  <c r="H31" i="136" s="1"/>
  <c r="H28" i="136"/>
  <c r="H26" i="136"/>
  <c r="H24" i="136"/>
  <c r="G24" i="136"/>
  <c r="H23" i="136"/>
  <c r="H22" i="136"/>
  <c r="H21" i="136"/>
  <c r="H20" i="136"/>
  <c r="H19" i="136"/>
  <c r="H18" i="136"/>
  <c r="H12" i="136"/>
  <c r="H11" i="136"/>
  <c r="H10" i="136"/>
  <c r="O1" i="136"/>
  <c r="I28" i="129"/>
  <c r="H23" i="129"/>
  <c r="C23" i="129"/>
  <c r="J29" i="129"/>
  <c r="J27" i="129"/>
  <c r="E29" i="129"/>
  <c r="C27" i="129"/>
  <c r="E27" i="129"/>
  <c r="I27" i="129"/>
  <c r="H28" i="129"/>
  <c r="J28" i="129"/>
  <c r="J25" i="129"/>
  <c r="H26" i="129"/>
  <c r="C26" i="129"/>
  <c r="E25" i="129"/>
  <c r="J26" i="129"/>
  <c r="I23" i="129"/>
  <c r="J23" i="129"/>
  <c r="E24" i="129"/>
  <c r="H24" i="129"/>
  <c r="H25" i="129"/>
  <c r="K26" i="129"/>
  <c r="H29" i="129"/>
  <c r="I26" i="129"/>
  <c r="E28" i="129"/>
  <c r="I24" i="129"/>
  <c r="K29" i="129"/>
  <c r="C25" i="129"/>
  <c r="C28" i="129"/>
  <c r="H27" i="129"/>
  <c r="I25" i="129"/>
  <c r="J24" i="129"/>
  <c r="C29" i="129"/>
  <c r="I29" i="129"/>
  <c r="E23" i="129"/>
  <c r="E26" i="129"/>
  <c r="C24" i="129"/>
  <c r="H37" i="136" l="1"/>
  <c r="H35" i="139"/>
  <c r="H35" i="141"/>
  <c r="H37" i="139"/>
  <c r="H37" i="140"/>
  <c r="H35" i="136"/>
  <c r="H35" i="137"/>
  <c r="H37" i="138"/>
  <c r="H37" i="142"/>
  <c r="H37" i="137"/>
  <c r="H35" i="140"/>
  <c r="K28" i="129"/>
  <c r="K24" i="129"/>
  <c r="K25" i="129"/>
  <c r="K23" i="129"/>
  <c r="K27" i="129"/>
  <c r="H39" i="140" l="1"/>
  <c r="H39" i="138"/>
  <c r="H45" i="138" s="1"/>
  <c r="H41" i="138"/>
  <c r="H41" i="142"/>
  <c r="H39" i="137"/>
  <c r="H41" i="137" s="1"/>
  <c r="H39" i="139"/>
  <c r="H39" i="136"/>
  <c r="H39" i="142"/>
  <c r="H37" i="141"/>
  <c r="H43" i="138"/>
  <c r="L24" i="129"/>
  <c r="L27" i="129"/>
  <c r="L29" i="129"/>
  <c r="M29" i="129"/>
  <c r="L23" i="129"/>
  <c r="M26" i="129"/>
  <c r="L26" i="129"/>
  <c r="L28" i="129"/>
  <c r="M27" i="129"/>
  <c r="N29" i="129"/>
  <c r="O29" i="129"/>
  <c r="H41" i="140" l="1"/>
  <c r="H43" i="140" s="1"/>
  <c r="H41" i="136"/>
  <c r="H43" i="142"/>
  <c r="H41" i="139"/>
  <c r="H43" i="137"/>
  <c r="H39" i="141"/>
  <c r="H43" i="141"/>
  <c r="H41" i="141"/>
  <c r="H43" i="136"/>
  <c r="H48" i="138"/>
  <c r="N26" i="129"/>
  <c r="F29" i="129"/>
  <c r="L25" i="129"/>
  <c r="M23" i="129"/>
  <c r="N27" i="129"/>
  <c r="M24" i="129"/>
  <c r="N28" i="129"/>
  <c r="N25" i="129"/>
  <c r="N24" i="129"/>
  <c r="M28" i="129"/>
  <c r="M25" i="129"/>
  <c r="G29" i="129" l="1"/>
  <c r="H45" i="137"/>
  <c r="H45" i="142"/>
  <c r="H48" i="141"/>
  <c r="H45" i="136"/>
  <c r="H43" i="139"/>
  <c r="H45" i="141"/>
  <c r="H45" i="140"/>
  <c r="O26" i="129"/>
  <c r="O27" i="129"/>
  <c r="F25" i="129"/>
  <c r="O28" i="129"/>
  <c r="O24" i="129"/>
  <c r="N23" i="129"/>
  <c r="O25" i="129"/>
  <c r="G25" i="129" l="1"/>
  <c r="H48" i="139"/>
  <c r="H45" i="139"/>
  <c r="H48" i="137"/>
  <c r="H48" i="136"/>
  <c r="H48" i="140"/>
  <c r="H48" i="142"/>
  <c r="F27" i="129"/>
  <c r="F24" i="129"/>
  <c r="F23" i="129"/>
  <c r="O23" i="129"/>
  <c r="F26" i="129"/>
  <c r="F28" i="129"/>
  <c r="G26" i="129" l="1"/>
  <c r="G28" i="129"/>
  <c r="G27" i="129"/>
  <c r="G24" i="129"/>
  <c r="G23" i="129"/>
  <c r="G19" i="133" l="1"/>
  <c r="G19" i="132"/>
  <c r="G19" i="131"/>
  <c r="G19" i="130"/>
  <c r="E43" i="133" l="1"/>
  <c r="E41" i="133"/>
  <c r="I39" i="133"/>
  <c r="E39" i="133"/>
  <c r="H38" i="133"/>
  <c r="H32" i="133"/>
  <c r="G31" i="133"/>
  <c r="E31" i="133"/>
  <c r="H28" i="133"/>
  <c r="H26" i="133"/>
  <c r="G24" i="133"/>
  <c r="H24" i="133" s="1"/>
  <c r="H23" i="133"/>
  <c r="H22" i="133"/>
  <c r="H21" i="133"/>
  <c r="H20" i="133"/>
  <c r="H19" i="133"/>
  <c r="H18" i="133"/>
  <c r="H12" i="133"/>
  <c r="H11" i="133"/>
  <c r="H10" i="133"/>
  <c r="O1" i="133"/>
  <c r="E43" i="132"/>
  <c r="E41" i="132"/>
  <c r="I39" i="132"/>
  <c r="E39" i="132"/>
  <c r="H38" i="132"/>
  <c r="H32" i="132"/>
  <c r="G31" i="132"/>
  <c r="E31" i="132"/>
  <c r="H28" i="132"/>
  <c r="H26" i="132"/>
  <c r="G24" i="132"/>
  <c r="H24" i="132" s="1"/>
  <c r="H23" i="132"/>
  <c r="H22" i="132"/>
  <c r="H21" i="132"/>
  <c r="H20" i="132"/>
  <c r="H19" i="132"/>
  <c r="H18" i="132"/>
  <c r="H12" i="132"/>
  <c r="H11" i="132"/>
  <c r="H10" i="132"/>
  <c r="O1" i="132"/>
  <c r="E43" i="131"/>
  <c r="E41" i="131"/>
  <c r="I39" i="131"/>
  <c r="E39" i="131"/>
  <c r="H38" i="131"/>
  <c r="H32" i="131"/>
  <c r="G31" i="131"/>
  <c r="E31" i="131"/>
  <c r="H28" i="131"/>
  <c r="H26" i="131"/>
  <c r="G24" i="131"/>
  <c r="H24" i="131" s="1"/>
  <c r="H23" i="131"/>
  <c r="H22" i="131"/>
  <c r="H21" i="131"/>
  <c r="H20" i="131"/>
  <c r="H19" i="131"/>
  <c r="H18" i="131"/>
  <c r="H12" i="131"/>
  <c r="H11" i="131"/>
  <c r="H10" i="131"/>
  <c r="O1" i="131"/>
  <c r="E43" i="130"/>
  <c r="E41" i="130"/>
  <c r="I39" i="130"/>
  <c r="E39" i="130"/>
  <c r="H38" i="130"/>
  <c r="H32" i="130"/>
  <c r="G31" i="130"/>
  <c r="E31" i="130"/>
  <c r="H28" i="130"/>
  <c r="H26" i="130"/>
  <c r="G24" i="130"/>
  <c r="H24" i="130" s="1"/>
  <c r="H23" i="130"/>
  <c r="H22" i="130"/>
  <c r="H21" i="130"/>
  <c r="H20" i="130"/>
  <c r="H19" i="130"/>
  <c r="H18" i="130"/>
  <c r="H12" i="130"/>
  <c r="H11" i="130"/>
  <c r="H10" i="130"/>
  <c r="O1" i="130"/>
  <c r="H31" i="133" l="1"/>
  <c r="H35" i="133" s="1"/>
  <c r="H31" i="131"/>
  <c r="H35" i="131" s="1"/>
  <c r="H37" i="131" s="1"/>
  <c r="H31" i="132"/>
  <c r="H35" i="132" s="1"/>
  <c r="H37" i="132" s="1"/>
  <c r="H31" i="130"/>
  <c r="H35" i="130" s="1"/>
  <c r="G31" i="121"/>
  <c r="H31" i="121" s="1"/>
  <c r="H29" i="121"/>
  <c r="H28" i="121"/>
  <c r="H26" i="121"/>
  <c r="G24" i="121"/>
  <c r="E24" i="121"/>
  <c r="H23" i="121"/>
  <c r="H20" i="121"/>
  <c r="H19" i="121"/>
  <c r="G31" i="15"/>
  <c r="H31" i="15" s="1"/>
  <c r="H29" i="15"/>
  <c r="H28" i="15"/>
  <c r="H26" i="15"/>
  <c r="G24" i="15"/>
  <c r="E24" i="15"/>
  <c r="H23" i="15"/>
  <c r="H20" i="15"/>
  <c r="H19" i="15"/>
  <c r="G31" i="63"/>
  <c r="H31" i="63" s="1"/>
  <c r="H29" i="63"/>
  <c r="H28" i="63"/>
  <c r="H26" i="63"/>
  <c r="G24" i="63"/>
  <c r="E24" i="63"/>
  <c r="H23" i="63"/>
  <c r="H20" i="63"/>
  <c r="H19" i="63"/>
  <c r="G31" i="65"/>
  <c r="H31" i="65" s="1"/>
  <c r="H29" i="65"/>
  <c r="H28" i="65"/>
  <c r="H26" i="65"/>
  <c r="G24" i="65"/>
  <c r="E24" i="65"/>
  <c r="H23" i="65"/>
  <c r="H20" i="65"/>
  <c r="H19" i="65"/>
  <c r="G31" i="16"/>
  <c r="H31" i="16" s="1"/>
  <c r="H29" i="16"/>
  <c r="H28" i="16"/>
  <c r="H26" i="16"/>
  <c r="G24" i="16"/>
  <c r="E24" i="16"/>
  <c r="H23" i="16"/>
  <c r="H20" i="16"/>
  <c r="H19" i="16"/>
  <c r="G31" i="67"/>
  <c r="H31" i="67" s="1"/>
  <c r="H29" i="67"/>
  <c r="H28" i="67"/>
  <c r="H26" i="67"/>
  <c r="G24" i="67"/>
  <c r="E24" i="67"/>
  <c r="H23" i="67"/>
  <c r="H20" i="67"/>
  <c r="H19" i="67"/>
  <c r="E24" i="14"/>
  <c r="H32" i="62"/>
  <c r="G31" i="62"/>
  <c r="H31" i="62" s="1"/>
  <c r="H28" i="62"/>
  <c r="H26" i="62"/>
  <c r="G24" i="62"/>
  <c r="H24" i="62" s="1"/>
  <c r="H23" i="62"/>
  <c r="H20" i="62"/>
  <c r="H32" i="64"/>
  <c r="G31" i="64"/>
  <c r="H31" i="64" s="1"/>
  <c r="H28" i="64"/>
  <c r="H26" i="64"/>
  <c r="G24" i="64"/>
  <c r="H24" i="64" s="1"/>
  <c r="H23" i="64"/>
  <c r="H20" i="64"/>
  <c r="H32" i="13"/>
  <c r="G31" i="13"/>
  <c r="H31" i="13" s="1"/>
  <c r="H28" i="13"/>
  <c r="H26" i="13"/>
  <c r="G24" i="13"/>
  <c r="H24" i="13" s="1"/>
  <c r="H23" i="13"/>
  <c r="H20" i="13"/>
  <c r="H32" i="66"/>
  <c r="G31" i="66"/>
  <c r="H31" i="66" s="1"/>
  <c r="H28" i="66"/>
  <c r="H26" i="66"/>
  <c r="G24" i="66"/>
  <c r="H24" i="66" s="1"/>
  <c r="H23" i="66"/>
  <c r="H20" i="66"/>
  <c r="H32" i="12"/>
  <c r="G31" i="12"/>
  <c r="H31" i="12" s="1"/>
  <c r="H28" i="12"/>
  <c r="H26" i="12"/>
  <c r="G24" i="12"/>
  <c r="H24" i="12" s="1"/>
  <c r="H23" i="12"/>
  <c r="H20" i="12"/>
  <c r="H26" i="11"/>
  <c r="H24" i="16" l="1"/>
  <c r="H37" i="133"/>
  <c r="H39" i="133" s="1"/>
  <c r="H41" i="133" s="1"/>
  <c r="H37" i="130"/>
  <c r="H39" i="130" s="1"/>
  <c r="H39" i="132"/>
  <c r="H41" i="132" s="1"/>
  <c r="H39" i="131"/>
  <c r="H41" i="131" s="1"/>
  <c r="H24" i="67"/>
  <c r="H24" i="15"/>
  <c r="H24" i="121"/>
  <c r="H24" i="65"/>
  <c r="H24" i="63"/>
  <c r="E24" i="59"/>
  <c r="E24" i="57"/>
  <c r="E24" i="55"/>
  <c r="E24" i="53"/>
  <c r="E24" i="9"/>
  <c r="E24" i="5"/>
  <c r="E31" i="52"/>
  <c r="E31" i="50"/>
  <c r="E31" i="48"/>
  <c r="E31" i="46"/>
  <c r="E31" i="7"/>
  <c r="E31" i="118"/>
  <c r="E31" i="117"/>
  <c r="E31" i="4"/>
  <c r="H43" i="133" l="1"/>
  <c r="H43" i="132"/>
  <c r="H45" i="132" s="1"/>
  <c r="H48" i="132" s="1"/>
  <c r="H43" i="131"/>
  <c r="H45" i="131" s="1"/>
  <c r="H48" i="131" s="1"/>
  <c r="H41" i="130"/>
  <c r="H43" i="130" s="1"/>
  <c r="E17" i="6"/>
  <c r="E17" i="3"/>
  <c r="E10" i="129"/>
  <c r="J7" i="129"/>
  <c r="H10" i="129"/>
  <c r="H13" i="129"/>
  <c r="J10" i="129"/>
  <c r="E14" i="129"/>
  <c r="D9" i="129"/>
  <c r="H12" i="129"/>
  <c r="N11" i="129"/>
  <c r="J6" i="129"/>
  <c r="D14" i="129"/>
  <c r="K11" i="129"/>
  <c r="N9" i="129"/>
  <c r="C14" i="129"/>
  <c r="L9" i="129"/>
  <c r="M9" i="129"/>
  <c r="E13" i="129"/>
  <c r="J4" i="129"/>
  <c r="H14" i="129"/>
  <c r="C11" i="129"/>
  <c r="I9" i="129"/>
  <c r="D13" i="129"/>
  <c r="J12" i="129"/>
  <c r="D10" i="129"/>
  <c r="M11" i="129"/>
  <c r="I13" i="129"/>
  <c r="J11" i="129"/>
  <c r="O9" i="129"/>
  <c r="E9" i="129"/>
  <c r="L11" i="129"/>
  <c r="J14" i="129"/>
  <c r="H9" i="129"/>
  <c r="E12" i="129"/>
  <c r="J5" i="129"/>
  <c r="J13" i="129"/>
  <c r="J8" i="129"/>
  <c r="H11" i="129"/>
  <c r="I12" i="129"/>
  <c r="D11" i="129"/>
  <c r="I14" i="129"/>
  <c r="K9" i="129"/>
  <c r="I10" i="129"/>
  <c r="J9" i="129"/>
  <c r="I11" i="129"/>
  <c r="D12" i="129"/>
  <c r="E11" i="129"/>
  <c r="H45" i="133" l="1"/>
  <c r="H45" i="130"/>
  <c r="H48" i="130" s="1"/>
  <c r="E43" i="4"/>
  <c r="E41" i="4"/>
  <c r="E39" i="4"/>
  <c r="E43" i="117"/>
  <c r="E41" i="117"/>
  <c r="E39" i="117"/>
  <c r="E43" i="118"/>
  <c r="E41" i="118"/>
  <c r="E39" i="118"/>
  <c r="E43" i="7"/>
  <c r="E41" i="7"/>
  <c r="E39" i="7"/>
  <c r="E43" i="46"/>
  <c r="E41" i="46"/>
  <c r="E39" i="46"/>
  <c r="E43" i="48"/>
  <c r="E41" i="48"/>
  <c r="E39" i="48"/>
  <c r="E43" i="50"/>
  <c r="E41" i="50"/>
  <c r="E39" i="50"/>
  <c r="E43" i="52"/>
  <c r="E41" i="52"/>
  <c r="E39" i="52"/>
  <c r="E43" i="3"/>
  <c r="E41" i="3"/>
  <c r="E39" i="3"/>
  <c r="E43" i="6"/>
  <c r="E41" i="6"/>
  <c r="E39" i="6"/>
  <c r="E43" i="45"/>
  <c r="E41" i="45"/>
  <c r="E39" i="45"/>
  <c r="E43" i="47"/>
  <c r="E41" i="47"/>
  <c r="E39" i="47"/>
  <c r="E43" i="49"/>
  <c r="E41" i="49"/>
  <c r="E39" i="49"/>
  <c r="E43" i="51"/>
  <c r="E41" i="51"/>
  <c r="E39" i="51"/>
  <c r="O11" i="129"/>
  <c r="H48" i="133" l="1"/>
  <c r="H30" i="3"/>
  <c r="H28" i="3"/>
  <c r="H28" i="5"/>
  <c r="H28" i="11"/>
  <c r="H30" i="6"/>
  <c r="H28" i="6"/>
  <c r="H28" i="9"/>
  <c r="H30" i="45"/>
  <c r="H28" i="45"/>
  <c r="H28" i="53"/>
  <c r="H30" i="47"/>
  <c r="H28" i="47"/>
  <c r="H28" i="55"/>
  <c r="H28" i="57"/>
  <c r="H30" i="49"/>
  <c r="H28" i="49"/>
  <c r="H30" i="51"/>
  <c r="H28" i="51"/>
  <c r="H28" i="59"/>
  <c r="H28" i="4"/>
  <c r="H28" i="8"/>
  <c r="H29" i="14"/>
  <c r="H28" i="14"/>
  <c r="H28" i="117"/>
  <c r="H28" i="119"/>
  <c r="H28" i="118"/>
  <c r="H28" i="120"/>
  <c r="H28" i="7"/>
  <c r="H28" i="10"/>
  <c r="H28" i="46"/>
  <c r="H28" i="54"/>
  <c r="H28" i="48"/>
  <c r="H28" i="56"/>
  <c r="H28" i="50"/>
  <c r="H28" i="58"/>
  <c r="H28" i="52"/>
  <c r="H28" i="60"/>
  <c r="G31" i="3"/>
  <c r="H31" i="3" s="1"/>
  <c r="G31" i="5"/>
  <c r="H31" i="5" s="1"/>
  <c r="G31" i="11"/>
  <c r="H31" i="11" s="1"/>
  <c r="G31" i="6"/>
  <c r="H31" i="6" s="1"/>
  <c r="G31" i="9"/>
  <c r="H31" i="9" s="1"/>
  <c r="G31" i="45"/>
  <c r="H31" i="45" s="1"/>
  <c r="G31" i="53"/>
  <c r="H31" i="53" s="1"/>
  <c r="G31" i="47"/>
  <c r="H31" i="47" s="1"/>
  <c r="G31" i="55"/>
  <c r="H31" i="55" s="1"/>
  <c r="G31" i="57"/>
  <c r="H31" i="57" s="1"/>
  <c r="G31" i="49"/>
  <c r="H31" i="49" s="1"/>
  <c r="G31" i="51"/>
  <c r="H31" i="51" s="1"/>
  <c r="G31" i="59"/>
  <c r="H31" i="59" s="1"/>
  <c r="G31" i="4"/>
  <c r="H31" i="4" s="1"/>
  <c r="G31" i="8"/>
  <c r="H31" i="8" s="1"/>
  <c r="G31" i="14"/>
  <c r="H31" i="14" s="1"/>
  <c r="G31" i="117"/>
  <c r="H31" i="117" s="1"/>
  <c r="G31" i="119"/>
  <c r="H31" i="119" s="1"/>
  <c r="G31" i="118"/>
  <c r="H31" i="118" s="1"/>
  <c r="G31" i="120"/>
  <c r="H31" i="120" s="1"/>
  <c r="G31" i="7"/>
  <c r="H31" i="7" s="1"/>
  <c r="G31" i="10"/>
  <c r="H31" i="10" s="1"/>
  <c r="G31" i="46"/>
  <c r="H31" i="46" s="1"/>
  <c r="G31" i="54"/>
  <c r="H31" i="54" s="1"/>
  <c r="G31" i="48"/>
  <c r="H31" i="48" s="1"/>
  <c r="G31" i="56"/>
  <c r="H31" i="56" s="1"/>
  <c r="G31" i="50"/>
  <c r="H31" i="50" s="1"/>
  <c r="G31" i="58"/>
  <c r="H31" i="58" s="1"/>
  <c r="G31" i="52"/>
  <c r="H31" i="52" s="1"/>
  <c r="G31" i="60"/>
  <c r="H31" i="60" s="1"/>
  <c r="E45" i="5"/>
  <c r="E45" i="11"/>
  <c r="E45" i="9"/>
  <c r="E45" i="12"/>
  <c r="E45" i="53"/>
  <c r="E45" i="62"/>
  <c r="E45" i="55"/>
  <c r="E45" i="64"/>
  <c r="E45" i="57"/>
  <c r="E45" i="13"/>
  <c r="E45" i="59"/>
  <c r="E45" i="66"/>
  <c r="E45" i="8"/>
  <c r="E45" i="14"/>
  <c r="E45" i="119"/>
  <c r="E45" i="121"/>
  <c r="E45" i="120"/>
  <c r="E45" i="10"/>
  <c r="E45" i="15"/>
  <c r="E45" i="54"/>
  <c r="E45" i="63"/>
  <c r="E45" i="56"/>
  <c r="E45" i="65"/>
  <c r="E45" i="58"/>
  <c r="E45" i="16"/>
  <c r="E45" i="60"/>
  <c r="E45" i="67"/>
  <c r="F11" i="129"/>
  <c r="G11" i="129" l="1"/>
  <c r="H32" i="54"/>
  <c r="H33" i="54"/>
  <c r="G34" i="54"/>
  <c r="H34" i="54" s="1"/>
  <c r="H18" i="67"/>
  <c r="H18" i="60"/>
  <c r="H18" i="16"/>
  <c r="H18" i="58"/>
  <c r="H18" i="65"/>
  <c r="H18" i="56"/>
  <c r="H18" i="63"/>
  <c r="H18" i="54"/>
  <c r="H18" i="15"/>
  <c r="H18" i="10"/>
  <c r="H18" i="120"/>
  <c r="H18" i="121"/>
  <c r="H18" i="119"/>
  <c r="H18" i="14"/>
  <c r="H18" i="8"/>
  <c r="I39" i="4" l="1"/>
  <c r="I39" i="117"/>
  <c r="I39" i="118"/>
  <c r="I39" i="6"/>
  <c r="I39" i="7"/>
  <c r="I39" i="45"/>
  <c r="I39" i="46"/>
  <c r="I39" i="47"/>
  <c r="I39" i="48"/>
  <c r="I39" i="49"/>
  <c r="I39" i="50"/>
  <c r="I39" i="51"/>
  <c r="I39" i="52"/>
  <c r="I39" i="5"/>
  <c r="I39" i="8"/>
  <c r="I39" i="119"/>
  <c r="I39" i="120"/>
  <c r="I39" i="9"/>
  <c r="I39" i="10"/>
  <c r="I39" i="53"/>
  <c r="I39" i="54"/>
  <c r="I39" i="55"/>
  <c r="I39" i="56"/>
  <c r="I39" i="57"/>
  <c r="I39" i="58"/>
  <c r="I39" i="59"/>
  <c r="I39" i="60"/>
  <c r="I40" i="11"/>
  <c r="I39" i="14"/>
  <c r="I39" i="121"/>
  <c r="I40" i="12"/>
  <c r="I39" i="15"/>
  <c r="I40" i="62"/>
  <c r="I39" i="63"/>
  <c r="I40" i="64"/>
  <c r="I39" i="65"/>
  <c r="I39" i="13"/>
  <c r="I39" i="16"/>
  <c r="I39" i="66"/>
  <c r="I39" i="67"/>
  <c r="I34" i="30"/>
  <c r="I34" i="32"/>
  <c r="I34" i="31"/>
  <c r="I34" i="33"/>
  <c r="I34" i="93"/>
  <c r="I34" i="94"/>
  <c r="I34" i="95"/>
  <c r="I34" i="96"/>
  <c r="I34" i="97"/>
  <c r="I34" i="98"/>
  <c r="I34" i="99"/>
  <c r="I34" i="100"/>
  <c r="I34" i="34"/>
  <c r="I34" i="36"/>
  <c r="I34" i="35"/>
  <c r="I34" i="37"/>
  <c r="I34" i="101"/>
  <c r="I34" i="102"/>
  <c r="I34" i="104"/>
  <c r="I34" i="103"/>
  <c r="I34" i="105"/>
  <c r="I34" i="106"/>
  <c r="I34" i="107"/>
  <c r="I34" i="108"/>
  <c r="I34" i="38"/>
  <c r="I34" i="40"/>
  <c r="I34" i="39"/>
  <c r="I34" i="41"/>
  <c r="I34" i="109"/>
  <c r="I34" i="110"/>
  <c r="I34" i="111"/>
  <c r="I34" i="112"/>
  <c r="I34" i="113"/>
  <c r="I34" i="114"/>
  <c r="I34" i="115"/>
  <c r="I34" i="116"/>
  <c r="I39" i="3"/>
  <c r="I41" i="3" s="1"/>
  <c r="I43" i="3" s="1"/>
  <c r="E43" i="5"/>
  <c r="E43" i="8"/>
  <c r="E43" i="119"/>
  <c r="E43" i="120"/>
  <c r="E43" i="9"/>
  <c r="E43" i="10"/>
  <c r="E43" i="53"/>
  <c r="E43" i="54"/>
  <c r="E43" i="55"/>
  <c r="E43" i="56"/>
  <c r="E43" i="57"/>
  <c r="E43" i="58"/>
  <c r="E43" i="59"/>
  <c r="E43" i="60"/>
  <c r="E46" i="11"/>
  <c r="E43" i="14"/>
  <c r="E43" i="121"/>
  <c r="E46" i="12"/>
  <c r="E43" i="15"/>
  <c r="E46" i="62"/>
  <c r="E43" i="63"/>
  <c r="E46" i="64"/>
  <c r="E43" i="65"/>
  <c r="E43" i="13"/>
  <c r="E43" i="16"/>
  <c r="E43" i="66"/>
  <c r="E43" i="67"/>
  <c r="E38" i="30"/>
  <c r="E38" i="32"/>
  <c r="E38" i="31"/>
  <c r="E38" i="33"/>
  <c r="E38" i="93"/>
  <c r="E38" i="94"/>
  <c r="E38" i="95"/>
  <c r="E38" i="96"/>
  <c r="E38" i="97"/>
  <c r="E38" i="98"/>
  <c r="E38" i="99"/>
  <c r="E38" i="100"/>
  <c r="E38" i="34"/>
  <c r="E38" i="36"/>
  <c r="E38" i="35"/>
  <c r="E38" i="37"/>
  <c r="E38" i="101"/>
  <c r="E38" i="102"/>
  <c r="E38" i="104"/>
  <c r="E38" i="103"/>
  <c r="E38" i="105"/>
  <c r="E38" i="106"/>
  <c r="E38" i="107"/>
  <c r="E38" i="108"/>
  <c r="E38" i="38"/>
  <c r="E38" i="40"/>
  <c r="E38" i="39"/>
  <c r="E38" i="41"/>
  <c r="E38" i="109"/>
  <c r="E38" i="110"/>
  <c r="E38" i="111"/>
  <c r="E38" i="112"/>
  <c r="E38" i="113"/>
  <c r="E38" i="114"/>
  <c r="E38" i="115"/>
  <c r="E38" i="116"/>
  <c r="E36" i="116"/>
  <c r="E36" i="115"/>
  <c r="E36" i="114"/>
  <c r="E36" i="113"/>
  <c r="E36" i="112"/>
  <c r="E36" i="111"/>
  <c r="E36" i="110"/>
  <c r="E36" i="109"/>
  <c r="E36" i="41"/>
  <c r="E36" i="39"/>
  <c r="E36" i="40"/>
  <c r="E36" i="38"/>
  <c r="E36" i="108"/>
  <c r="E36" i="107"/>
  <c r="E36" i="106"/>
  <c r="E36" i="105"/>
  <c r="E36" i="103"/>
  <c r="E36" i="104"/>
  <c r="E36" i="102"/>
  <c r="E36" i="101"/>
  <c r="E36" i="37"/>
  <c r="E36" i="35"/>
  <c r="E36" i="36"/>
  <c r="E36" i="34"/>
  <c r="E36" i="100"/>
  <c r="E36" i="99"/>
  <c r="E36" i="98"/>
  <c r="E36" i="97"/>
  <c r="E36" i="96"/>
  <c r="E36" i="95"/>
  <c r="E36" i="94"/>
  <c r="E36" i="93"/>
  <c r="E36" i="33"/>
  <c r="E36" i="31"/>
  <c r="E36" i="32"/>
  <c r="E36" i="30"/>
  <c r="E41" i="67"/>
  <c r="E41" i="66"/>
  <c r="E41" i="16"/>
  <c r="E41" i="13"/>
  <c r="E41" i="65"/>
  <c r="E42" i="64"/>
  <c r="E41" i="63"/>
  <c r="E42" i="62"/>
  <c r="E41" i="15"/>
  <c r="E42" i="12"/>
  <c r="E41" i="121"/>
  <c r="E41" i="14"/>
  <c r="E42" i="11"/>
  <c r="E41" i="60"/>
  <c r="E41" i="59"/>
  <c r="E41" i="58"/>
  <c r="E41" i="57"/>
  <c r="E41" i="56"/>
  <c r="E41" i="55"/>
  <c r="E41" i="54"/>
  <c r="E41" i="53"/>
  <c r="E41" i="10"/>
  <c r="E41" i="9"/>
  <c r="E41" i="120"/>
  <c r="E41" i="119"/>
  <c r="E41" i="8"/>
  <c r="E41" i="5"/>
  <c r="E39" i="5"/>
  <c r="E39" i="8"/>
  <c r="E39" i="119"/>
  <c r="E39" i="120"/>
  <c r="E39" i="9"/>
  <c r="E39" i="10"/>
  <c r="E39" i="53"/>
  <c r="E39" i="54"/>
  <c r="E39" i="55"/>
  <c r="E39" i="56"/>
  <c r="E39" i="57"/>
  <c r="E39" i="58"/>
  <c r="E39" i="59"/>
  <c r="E39" i="60"/>
  <c r="E40" i="11"/>
  <c r="E39" i="14"/>
  <c r="E39" i="121"/>
  <c r="E40" i="12"/>
  <c r="E39" i="15"/>
  <c r="E40" i="62"/>
  <c r="E39" i="63"/>
  <c r="E40" i="64"/>
  <c r="E39" i="65"/>
  <c r="E39" i="13"/>
  <c r="E39" i="16"/>
  <c r="E39" i="66"/>
  <c r="E39" i="67"/>
  <c r="E34" i="30"/>
  <c r="E34" i="32"/>
  <c r="E34" i="31"/>
  <c r="E34" i="33"/>
  <c r="E34" i="93"/>
  <c r="E34" i="94"/>
  <c r="E34" i="95"/>
  <c r="E34" i="96"/>
  <c r="E34" i="97"/>
  <c r="E34" i="98"/>
  <c r="E34" i="99"/>
  <c r="E34" i="100"/>
  <c r="E34" i="34"/>
  <c r="E34" i="36"/>
  <c r="E34" i="35"/>
  <c r="E34" i="37"/>
  <c r="E34" i="101"/>
  <c r="E34" i="102"/>
  <c r="E34" i="104"/>
  <c r="E34" i="103"/>
  <c r="E34" i="105"/>
  <c r="E34" i="106"/>
  <c r="E34" i="107"/>
  <c r="E34" i="108"/>
  <c r="E34" i="38"/>
  <c r="E34" i="40"/>
  <c r="E34" i="39"/>
  <c r="E34" i="41"/>
  <c r="E34" i="109"/>
  <c r="E34" i="110"/>
  <c r="E34" i="111"/>
  <c r="E34" i="112"/>
  <c r="E34" i="113"/>
  <c r="E34" i="114"/>
  <c r="E34" i="115"/>
  <c r="E34" i="116"/>
  <c r="G34" i="5"/>
  <c r="G34" i="8"/>
  <c r="G34" i="119"/>
  <c r="G34" i="120"/>
  <c r="G34" i="9"/>
  <c r="G34" i="10"/>
  <c r="G34" i="53"/>
  <c r="G34" i="55"/>
  <c r="G34" i="56"/>
  <c r="G34" i="57"/>
  <c r="G34" i="58"/>
  <c r="G34" i="59"/>
  <c r="G34" i="60"/>
  <c r="G29" i="30"/>
  <c r="G29" i="32"/>
  <c r="G29" i="31"/>
  <c r="G29" i="33"/>
  <c r="G29" i="93"/>
  <c r="G29" i="94"/>
  <c r="G29" i="95"/>
  <c r="G29" i="96"/>
  <c r="G29" i="97"/>
  <c r="G29" i="98"/>
  <c r="G29" i="99"/>
  <c r="G29" i="100"/>
  <c r="G29" i="34"/>
  <c r="G29" i="36"/>
  <c r="G29" i="35"/>
  <c r="G29" i="37"/>
  <c r="G29" i="101"/>
  <c r="G29" i="102"/>
  <c r="G29" i="104"/>
  <c r="G29" i="103"/>
  <c r="G29" i="105"/>
  <c r="G29" i="106"/>
  <c r="G29" i="107"/>
  <c r="G29" i="108"/>
  <c r="G29" i="38"/>
  <c r="G29" i="40"/>
  <c r="G29" i="39"/>
  <c r="G29" i="41"/>
  <c r="G29" i="109"/>
  <c r="G29" i="110"/>
  <c r="G29" i="111"/>
  <c r="G29" i="112"/>
  <c r="G29" i="113"/>
  <c r="G29" i="114"/>
  <c r="G29" i="115"/>
  <c r="G29" i="116"/>
  <c r="G24" i="4"/>
  <c r="G24" i="117"/>
  <c r="G24" i="118"/>
  <c r="G24" i="6"/>
  <c r="G24" i="7"/>
  <c r="G24" i="45"/>
  <c r="G24" i="46"/>
  <c r="G24" i="47"/>
  <c r="G24" i="48"/>
  <c r="G24" i="49"/>
  <c r="G24" i="50"/>
  <c r="G24" i="51"/>
  <c r="G24" i="52"/>
  <c r="G24" i="5"/>
  <c r="G24" i="8"/>
  <c r="G24" i="119"/>
  <c r="G24" i="120"/>
  <c r="G24" i="9"/>
  <c r="G24" i="10"/>
  <c r="G24" i="53"/>
  <c r="G24" i="54"/>
  <c r="G24" i="55"/>
  <c r="G24" i="56"/>
  <c r="G24" i="57"/>
  <c r="G24" i="58"/>
  <c r="G24" i="59"/>
  <c r="G24" i="60"/>
  <c r="G24" i="11"/>
  <c r="G24" i="14"/>
  <c r="G24" i="30"/>
  <c r="G24" i="32"/>
  <c r="G24" i="31"/>
  <c r="G24" i="33"/>
  <c r="G24" i="93"/>
  <c r="G24" i="94"/>
  <c r="G24" i="95"/>
  <c r="G24" i="96"/>
  <c r="G24" i="97"/>
  <c r="G24" i="98"/>
  <c r="G24" i="99"/>
  <c r="G24" i="100"/>
  <c r="G24" i="34"/>
  <c r="G24" i="36"/>
  <c r="G24" i="35"/>
  <c r="G24" i="37"/>
  <c r="G24" i="101"/>
  <c r="G24" i="102"/>
  <c r="G24" i="104"/>
  <c r="G24" i="103"/>
  <c r="G24" i="105"/>
  <c r="G24" i="106"/>
  <c r="G24" i="107"/>
  <c r="G24" i="108"/>
  <c r="G24" i="38"/>
  <c r="G24" i="40"/>
  <c r="G24" i="39"/>
  <c r="G24" i="41"/>
  <c r="G24" i="109"/>
  <c r="G24" i="110"/>
  <c r="G24" i="111"/>
  <c r="G24" i="112"/>
  <c r="G24" i="113"/>
  <c r="G24" i="114"/>
  <c r="G24" i="115"/>
  <c r="G24" i="116"/>
  <c r="G17" i="6"/>
  <c r="G17" i="45"/>
  <c r="G17" i="47"/>
  <c r="G17" i="49"/>
  <c r="G17" i="51"/>
  <c r="G17" i="5"/>
  <c r="G17" i="9"/>
  <c r="G17" i="53"/>
  <c r="G17" i="55"/>
  <c r="G17" i="57"/>
  <c r="G17" i="59"/>
  <c r="G17" i="11"/>
  <c r="G17" i="12"/>
  <c r="G17" i="62"/>
  <c r="G17" i="64"/>
  <c r="G17" i="13"/>
  <c r="G17" i="66"/>
  <c r="G17" i="30"/>
  <c r="G17" i="32"/>
  <c r="G17" i="31"/>
  <c r="G17" i="33"/>
  <c r="G17" i="93"/>
  <c r="G17" i="94"/>
  <c r="G17" i="95"/>
  <c r="G17" i="96"/>
  <c r="G17" i="97"/>
  <c r="G17" i="98"/>
  <c r="G17" i="99"/>
  <c r="G17" i="100"/>
  <c r="G17" i="34"/>
  <c r="G17" i="36"/>
  <c r="G17" i="35"/>
  <c r="G17" i="37"/>
  <c r="G17" i="101"/>
  <c r="G17" i="102"/>
  <c r="G17" i="104"/>
  <c r="G17" i="103"/>
  <c r="G17" i="105"/>
  <c r="G17" i="106"/>
  <c r="G17" i="107"/>
  <c r="G17" i="108"/>
  <c r="G17" i="38"/>
  <c r="G17" i="40"/>
  <c r="G17" i="39"/>
  <c r="G17" i="41"/>
  <c r="G17" i="109"/>
  <c r="G17" i="110"/>
  <c r="G17" i="111"/>
  <c r="G17" i="112"/>
  <c r="G17" i="113"/>
  <c r="G17" i="114"/>
  <c r="G17" i="115"/>
  <c r="G17" i="116"/>
  <c r="G17" i="3"/>
  <c r="G8" i="5"/>
  <c r="G8" i="8"/>
  <c r="G8" i="119"/>
  <c r="G8" i="120"/>
  <c r="G8" i="9"/>
  <c r="G8" i="10"/>
  <c r="G8" i="53"/>
  <c r="G8" i="54"/>
  <c r="G8" i="55"/>
  <c r="G8" i="56"/>
  <c r="G8" i="57"/>
  <c r="G8" i="58"/>
  <c r="G8" i="59"/>
  <c r="G8" i="60"/>
  <c r="G8" i="11"/>
  <c r="G8" i="14"/>
  <c r="G8" i="121"/>
  <c r="G8" i="12"/>
  <c r="G8" i="15"/>
  <c r="G8" i="62"/>
  <c r="G8" i="63"/>
  <c r="G8" i="64"/>
  <c r="G8" i="65"/>
  <c r="G8" i="13"/>
  <c r="G8" i="16"/>
  <c r="G8" i="66"/>
  <c r="G8" i="67"/>
  <c r="G8" i="30"/>
  <c r="G8" i="32"/>
  <c r="G8" i="31"/>
  <c r="G8" i="33"/>
  <c r="G8" i="93"/>
  <c r="G8" i="94"/>
  <c r="G8" i="95"/>
  <c r="G8" i="96"/>
  <c r="G8" i="97"/>
  <c r="G8" i="98"/>
  <c r="G8" i="99"/>
  <c r="G8" i="100"/>
  <c r="G8" i="34"/>
  <c r="G8" i="36"/>
  <c r="G8" i="35"/>
  <c r="G8" i="37"/>
  <c r="G8" i="101"/>
  <c r="G8" i="102"/>
  <c r="G8" i="104"/>
  <c r="G8" i="103"/>
  <c r="G8" i="105"/>
  <c r="G8" i="106"/>
  <c r="G8" i="107"/>
  <c r="G8" i="108"/>
  <c r="G8" i="38"/>
  <c r="G8" i="40"/>
  <c r="G8" i="39"/>
  <c r="G8" i="41"/>
  <c r="G8" i="109"/>
  <c r="G8" i="110"/>
  <c r="G8" i="111"/>
  <c r="G8" i="112"/>
  <c r="G8" i="113"/>
  <c r="G8" i="114"/>
  <c r="G8" i="115"/>
  <c r="G8" i="116"/>
  <c r="O1" i="4"/>
  <c r="O1" i="117"/>
  <c r="O1" i="118"/>
  <c r="O1" i="6"/>
  <c r="O1" i="7"/>
  <c r="O1" i="45"/>
  <c r="O1" i="46"/>
  <c r="O1" i="47"/>
  <c r="O1" i="48"/>
  <c r="O1" i="49"/>
  <c r="O1" i="50"/>
  <c r="O1" i="51"/>
  <c r="O1" i="52"/>
  <c r="O1" i="5"/>
  <c r="O1" i="8"/>
  <c r="O1" i="119"/>
  <c r="O1" i="120"/>
  <c r="O1" i="9"/>
  <c r="O1" i="10"/>
  <c r="O1" i="53"/>
  <c r="O1" i="54"/>
  <c r="O1" i="55"/>
  <c r="O1" i="56"/>
  <c r="O1" i="57"/>
  <c r="O1" i="58"/>
  <c r="O1" i="59"/>
  <c r="O1" i="60"/>
  <c r="O1" i="11"/>
  <c r="O1" i="14"/>
  <c r="O1" i="121"/>
  <c r="O1" i="12"/>
  <c r="O1" i="15"/>
  <c r="O1" i="62"/>
  <c r="O1" i="63"/>
  <c r="O1" i="64"/>
  <c r="O1" i="65"/>
  <c r="O1" i="13"/>
  <c r="O1" i="16"/>
  <c r="O1" i="66"/>
  <c r="O1" i="67"/>
  <c r="O1" i="30"/>
  <c r="O1" i="32"/>
  <c r="O1" i="31"/>
  <c r="O1" i="33"/>
  <c r="O1" i="93"/>
  <c r="O1" i="94"/>
  <c r="O1" i="95"/>
  <c r="O1" i="96"/>
  <c r="O1" i="97"/>
  <c r="O1" i="98"/>
  <c r="O1" i="99"/>
  <c r="O1" i="100"/>
  <c r="O1" i="34"/>
  <c r="O1" i="36"/>
  <c r="O1" i="35"/>
  <c r="O1" i="37"/>
  <c r="O1" i="101"/>
  <c r="O1" i="102"/>
  <c r="O1" i="104"/>
  <c r="O1" i="103"/>
  <c r="O1" i="105"/>
  <c r="O1" i="106"/>
  <c r="O1" i="107"/>
  <c r="O1" i="108"/>
  <c r="O1" i="38"/>
  <c r="O1" i="40"/>
  <c r="O1" i="39"/>
  <c r="O1" i="41"/>
  <c r="O1" i="109"/>
  <c r="O1" i="110"/>
  <c r="O1" i="111"/>
  <c r="O1" i="112"/>
  <c r="O1" i="113"/>
  <c r="O1" i="114"/>
  <c r="O1" i="115"/>
  <c r="O1" i="116"/>
  <c r="O1" i="3"/>
  <c r="E7" i="129"/>
  <c r="E8" i="129"/>
  <c r="I5" i="129"/>
  <c r="I7" i="129"/>
  <c r="D8" i="129"/>
  <c r="E6" i="129"/>
  <c r="C8" i="129"/>
  <c r="C12" i="129"/>
  <c r="I4" i="129"/>
  <c r="H6" i="129"/>
  <c r="I6" i="129"/>
  <c r="H8" i="129"/>
  <c r="H7" i="129"/>
  <c r="E5" i="129"/>
  <c r="C9" i="129"/>
  <c r="H5" i="129"/>
  <c r="C13" i="129"/>
  <c r="H4" i="129"/>
  <c r="I8" i="129"/>
  <c r="C10" i="129"/>
  <c r="H32" i="4" l="1"/>
  <c r="H26" i="4"/>
  <c r="H32" i="117"/>
  <c r="H26" i="117"/>
  <c r="H32" i="118"/>
  <c r="H26" i="118"/>
  <c r="H32" i="6"/>
  <c r="H26" i="6"/>
  <c r="H32" i="7"/>
  <c r="H26" i="7"/>
  <c r="H32" i="45"/>
  <c r="H26" i="45"/>
  <c r="H32" i="46"/>
  <c r="H26" i="46"/>
  <c r="H32" i="47"/>
  <c r="H26" i="47"/>
  <c r="H32" i="48"/>
  <c r="H26" i="48"/>
  <c r="H32" i="49"/>
  <c r="H26" i="49"/>
  <c r="H32" i="50"/>
  <c r="H26" i="50"/>
  <c r="H32" i="51"/>
  <c r="H26" i="51"/>
  <c r="H32" i="52"/>
  <c r="H26" i="52"/>
  <c r="H32" i="5"/>
  <c r="H26" i="5"/>
  <c r="H32" i="8"/>
  <c r="H26" i="8"/>
  <c r="H32" i="119"/>
  <c r="H26" i="119"/>
  <c r="H32" i="120"/>
  <c r="H26" i="120"/>
  <c r="H32" i="9"/>
  <c r="H26" i="9"/>
  <c r="H32" i="10"/>
  <c r="H26" i="10"/>
  <c r="H32" i="53"/>
  <c r="H26" i="53"/>
  <c r="H26" i="54"/>
  <c r="H32" i="55"/>
  <c r="H26" i="55"/>
  <c r="H32" i="56"/>
  <c r="H26" i="56"/>
  <c r="H32" i="57"/>
  <c r="H26" i="57"/>
  <c r="H32" i="58"/>
  <c r="H26" i="58"/>
  <c r="H32" i="59"/>
  <c r="H26" i="59"/>
  <c r="H32" i="60"/>
  <c r="H26" i="60"/>
  <c r="H32" i="11"/>
  <c r="H26" i="14"/>
  <c r="H27" i="30"/>
  <c r="H26" i="30"/>
  <c r="H27" i="32"/>
  <c r="H26" i="32"/>
  <c r="H27" i="31"/>
  <c r="H26" i="31"/>
  <c r="H27" i="33"/>
  <c r="H26" i="33"/>
  <c r="H27" i="93"/>
  <c r="H26" i="93"/>
  <c r="H27" i="94"/>
  <c r="H26" i="94"/>
  <c r="H27" i="95"/>
  <c r="H26" i="95"/>
  <c r="H27" i="96"/>
  <c r="H26" i="96"/>
  <c r="H27" i="97"/>
  <c r="H26" i="97"/>
  <c r="H27" i="98"/>
  <c r="H26" i="98"/>
  <c r="H27" i="99"/>
  <c r="H26" i="99"/>
  <c r="H27" i="100"/>
  <c r="H26" i="100"/>
  <c r="H27" i="34"/>
  <c r="H26" i="34"/>
  <c r="H27" i="36"/>
  <c r="H26" i="36"/>
  <c r="H27" i="35"/>
  <c r="H26" i="35"/>
  <c r="H27" i="37"/>
  <c r="H26" i="37"/>
  <c r="H27" i="101"/>
  <c r="H26" i="101"/>
  <c r="H27" i="102"/>
  <c r="H26" i="102"/>
  <c r="H27" i="104"/>
  <c r="H26" i="104"/>
  <c r="H27" i="103"/>
  <c r="H26" i="103"/>
  <c r="H27" i="105"/>
  <c r="H26" i="105"/>
  <c r="H27" i="106"/>
  <c r="H26" i="106"/>
  <c r="H27" i="107"/>
  <c r="H26" i="107"/>
  <c r="H27" i="108"/>
  <c r="H26" i="108"/>
  <c r="H27" i="38"/>
  <c r="H26" i="38"/>
  <c r="H27" i="40"/>
  <c r="H26" i="40"/>
  <c r="H27" i="39"/>
  <c r="H26" i="39"/>
  <c r="H27" i="41"/>
  <c r="H26" i="41"/>
  <c r="H27" i="109"/>
  <c r="H26" i="109"/>
  <c r="H27" i="110"/>
  <c r="H26" i="110"/>
  <c r="H27" i="111"/>
  <c r="H26" i="111"/>
  <c r="H27" i="112"/>
  <c r="H26" i="112"/>
  <c r="H27" i="113"/>
  <c r="H26" i="113"/>
  <c r="H27" i="114"/>
  <c r="H26" i="114"/>
  <c r="H27" i="115"/>
  <c r="H26" i="115"/>
  <c r="H27" i="116"/>
  <c r="H26" i="116"/>
  <c r="H32" i="3"/>
  <c r="H26" i="3"/>
  <c r="D7" i="129"/>
  <c r="C4" i="129"/>
  <c r="C7" i="129"/>
  <c r="C5" i="129"/>
  <c r="H38" i="121" l="1"/>
  <c r="H12" i="121"/>
  <c r="H11" i="121"/>
  <c r="H9" i="121"/>
  <c r="H8" i="121"/>
  <c r="D5" i="129"/>
  <c r="E4" i="129"/>
  <c r="D4" i="129"/>
  <c r="C6" i="129"/>
  <c r="D6" i="129"/>
  <c r="H35" i="121" l="1"/>
  <c r="H10" i="121"/>
  <c r="H38" i="120"/>
  <c r="H34" i="120"/>
  <c r="H33" i="120"/>
  <c r="H24" i="120"/>
  <c r="H23" i="120"/>
  <c r="H22" i="120"/>
  <c r="H21" i="120"/>
  <c r="H20" i="120"/>
  <c r="H19" i="120"/>
  <c r="H12" i="120"/>
  <c r="H11" i="120"/>
  <c r="H9" i="120"/>
  <c r="H8" i="120"/>
  <c r="H38" i="119"/>
  <c r="H34" i="119"/>
  <c r="H33" i="119"/>
  <c r="H24" i="119"/>
  <c r="H23" i="119"/>
  <c r="H22" i="119"/>
  <c r="H21" i="119"/>
  <c r="H20" i="119"/>
  <c r="H19" i="119"/>
  <c r="H12" i="119"/>
  <c r="H11" i="119"/>
  <c r="H9" i="119"/>
  <c r="H8" i="119"/>
  <c r="H38" i="118"/>
  <c r="H24" i="118"/>
  <c r="H23" i="118"/>
  <c r="H22" i="118"/>
  <c r="H21" i="118"/>
  <c r="H20" i="118"/>
  <c r="H19" i="118"/>
  <c r="H18" i="118"/>
  <c r="H12" i="118"/>
  <c r="H11" i="118"/>
  <c r="H38" i="117"/>
  <c r="H24" i="117"/>
  <c r="H35" i="117" s="1"/>
  <c r="H23" i="117"/>
  <c r="H22" i="117"/>
  <c r="H21" i="117"/>
  <c r="H20" i="117"/>
  <c r="H19" i="117"/>
  <c r="H18" i="117"/>
  <c r="H12" i="117"/>
  <c r="H11" i="117"/>
  <c r="H33" i="116"/>
  <c r="H29" i="116"/>
  <c r="H28" i="116"/>
  <c r="H24" i="116"/>
  <c r="H23" i="116"/>
  <c r="H22" i="116"/>
  <c r="H21" i="116"/>
  <c r="H20" i="116"/>
  <c r="H19" i="116"/>
  <c r="H18" i="116"/>
  <c r="H17" i="116"/>
  <c r="H16" i="116"/>
  <c r="H15" i="116"/>
  <c r="H14" i="116"/>
  <c r="H13" i="116"/>
  <c r="H12" i="116"/>
  <c r="H11" i="116"/>
  <c r="H9" i="116"/>
  <c r="H8" i="116"/>
  <c r="H41" i="116" s="1"/>
  <c r="H33" i="115"/>
  <c r="H29" i="115"/>
  <c r="H28" i="115"/>
  <c r="H24" i="115"/>
  <c r="H23" i="115"/>
  <c r="H22" i="115"/>
  <c r="H21" i="115"/>
  <c r="H20" i="115"/>
  <c r="H19" i="115"/>
  <c r="H18" i="115"/>
  <c r="H17" i="115"/>
  <c r="H16" i="115"/>
  <c r="H15" i="115"/>
  <c r="H14" i="115"/>
  <c r="H13" i="115"/>
  <c r="H12" i="115"/>
  <c r="H11" i="115"/>
  <c r="H9" i="115"/>
  <c r="H8" i="115"/>
  <c r="H41" i="115" s="1"/>
  <c r="H33" i="114"/>
  <c r="H29" i="114"/>
  <c r="H28" i="114"/>
  <c r="H24" i="114"/>
  <c r="H23" i="114"/>
  <c r="H22" i="114"/>
  <c r="H21" i="114"/>
  <c r="H20" i="114"/>
  <c r="H19" i="114"/>
  <c r="H18" i="114"/>
  <c r="H17" i="114"/>
  <c r="H16" i="114"/>
  <c r="H15" i="114"/>
  <c r="H14" i="114"/>
  <c r="H13" i="114"/>
  <c r="H12" i="114"/>
  <c r="H11" i="114"/>
  <c r="H9" i="114"/>
  <c r="H8" i="114"/>
  <c r="H41" i="114" s="1"/>
  <c r="H33" i="113"/>
  <c r="H29" i="113"/>
  <c r="H28" i="113"/>
  <c r="H24" i="113"/>
  <c r="H23" i="113"/>
  <c r="H22" i="113"/>
  <c r="H21" i="113"/>
  <c r="H20" i="113"/>
  <c r="H19" i="113"/>
  <c r="H18" i="113"/>
  <c r="H17" i="113"/>
  <c r="H16" i="113"/>
  <c r="H15" i="113"/>
  <c r="H14" i="113"/>
  <c r="H13" i="113"/>
  <c r="H12" i="113"/>
  <c r="H11" i="113"/>
  <c r="H9" i="113"/>
  <c r="H8" i="113"/>
  <c r="H41" i="113" s="1"/>
  <c r="H33" i="112"/>
  <c r="H29" i="112"/>
  <c r="H28" i="112"/>
  <c r="H24" i="112"/>
  <c r="H23" i="112"/>
  <c r="H22" i="112"/>
  <c r="H21" i="112"/>
  <c r="H20" i="112"/>
  <c r="H19" i="112"/>
  <c r="H18" i="112"/>
  <c r="H17" i="112"/>
  <c r="H16" i="112"/>
  <c r="H15" i="112"/>
  <c r="H14" i="112"/>
  <c r="H13" i="112"/>
  <c r="H12" i="112"/>
  <c r="H11" i="112"/>
  <c r="H9" i="112"/>
  <c r="H8" i="112"/>
  <c r="H41" i="112" s="1"/>
  <c r="H33" i="111"/>
  <c r="H29" i="111"/>
  <c r="H28" i="111"/>
  <c r="H24" i="111"/>
  <c r="H23" i="111"/>
  <c r="H22" i="111"/>
  <c r="H21" i="111"/>
  <c r="H20" i="111"/>
  <c r="H19" i="111"/>
  <c r="H18" i="111"/>
  <c r="H17" i="111"/>
  <c r="H16" i="111"/>
  <c r="H15" i="111"/>
  <c r="H14" i="111"/>
  <c r="H13" i="111"/>
  <c r="H12" i="111"/>
  <c r="H11" i="111"/>
  <c r="H9" i="111"/>
  <c r="H8" i="111"/>
  <c r="H41" i="111" s="1"/>
  <c r="H33" i="110"/>
  <c r="H29" i="110"/>
  <c r="H28" i="110"/>
  <c r="H24" i="110"/>
  <c r="H23" i="110"/>
  <c r="H22" i="110"/>
  <c r="H21" i="110"/>
  <c r="H20" i="110"/>
  <c r="H19" i="110"/>
  <c r="H18" i="110"/>
  <c r="H17" i="110"/>
  <c r="H16" i="110"/>
  <c r="H15" i="110"/>
  <c r="H14" i="110"/>
  <c r="H13" i="110"/>
  <c r="H12" i="110"/>
  <c r="H11" i="110"/>
  <c r="H9" i="110"/>
  <c r="H8" i="110"/>
  <c r="H41" i="110" s="1"/>
  <c r="H33" i="109"/>
  <c r="H29" i="109"/>
  <c r="H28" i="109"/>
  <c r="H24" i="109"/>
  <c r="H23" i="109"/>
  <c r="H22" i="109"/>
  <c r="H21" i="109"/>
  <c r="H20" i="109"/>
  <c r="H19" i="109"/>
  <c r="H18" i="109"/>
  <c r="H17" i="109"/>
  <c r="H16" i="109"/>
  <c r="H15" i="109"/>
  <c r="H14" i="109"/>
  <c r="H13" i="109"/>
  <c r="H12" i="109"/>
  <c r="H11" i="109"/>
  <c r="H9" i="109"/>
  <c r="H8" i="109"/>
  <c r="H41" i="109" s="1"/>
  <c r="H33" i="108"/>
  <c r="H29" i="108"/>
  <c r="H28" i="108"/>
  <c r="H24" i="108"/>
  <c r="H23" i="108"/>
  <c r="H22" i="108"/>
  <c r="H21" i="108"/>
  <c r="H20" i="108"/>
  <c r="H19" i="108"/>
  <c r="H18" i="108"/>
  <c r="H17" i="108"/>
  <c r="H16" i="108"/>
  <c r="H15" i="108"/>
  <c r="H14" i="108"/>
  <c r="H13" i="108"/>
  <c r="H12" i="108"/>
  <c r="H11" i="108"/>
  <c r="H9" i="108"/>
  <c r="H8" i="108"/>
  <c r="H41" i="108" s="1"/>
  <c r="H33" i="107"/>
  <c r="H29" i="107"/>
  <c r="H28" i="107"/>
  <c r="H24" i="107"/>
  <c r="H23" i="107"/>
  <c r="H22" i="107"/>
  <c r="H21" i="107"/>
  <c r="H20" i="107"/>
  <c r="H19" i="107"/>
  <c r="H18" i="107"/>
  <c r="H17" i="107"/>
  <c r="H16" i="107"/>
  <c r="H15" i="107"/>
  <c r="H14" i="107"/>
  <c r="H13" i="107"/>
  <c r="H12" i="107"/>
  <c r="H11" i="107"/>
  <c r="H9" i="107"/>
  <c r="H8" i="107"/>
  <c r="H41" i="107" s="1"/>
  <c r="H33" i="106"/>
  <c r="H29" i="106"/>
  <c r="H28" i="106"/>
  <c r="H24" i="106"/>
  <c r="H23" i="106"/>
  <c r="H22" i="106"/>
  <c r="H21" i="106"/>
  <c r="H20" i="106"/>
  <c r="H19" i="106"/>
  <c r="H18" i="106"/>
  <c r="H17" i="106"/>
  <c r="H16" i="106"/>
  <c r="H15" i="106"/>
  <c r="H14" i="106"/>
  <c r="H13" i="106"/>
  <c r="H12" i="106"/>
  <c r="H11" i="106"/>
  <c r="H9" i="106"/>
  <c r="H8" i="106"/>
  <c r="H41" i="106" s="1"/>
  <c r="H33" i="105"/>
  <c r="H29" i="105"/>
  <c r="H28" i="105"/>
  <c r="H24" i="105"/>
  <c r="H23" i="105"/>
  <c r="H22" i="105"/>
  <c r="H21" i="105"/>
  <c r="H20" i="105"/>
  <c r="H19" i="105"/>
  <c r="H18" i="105"/>
  <c r="H17" i="105"/>
  <c r="H16" i="105"/>
  <c r="H15" i="105"/>
  <c r="H14" i="105"/>
  <c r="H13" i="105"/>
  <c r="H12" i="105"/>
  <c r="H11" i="105"/>
  <c r="H9" i="105"/>
  <c r="H8" i="105"/>
  <c r="H41" i="105" s="1"/>
  <c r="H33" i="104"/>
  <c r="H29" i="104"/>
  <c r="H28" i="104"/>
  <c r="H24" i="104"/>
  <c r="H23" i="104"/>
  <c r="H22" i="104"/>
  <c r="H21" i="104"/>
  <c r="H20" i="104"/>
  <c r="H19" i="104"/>
  <c r="H18" i="104"/>
  <c r="H17" i="104"/>
  <c r="H16" i="104"/>
  <c r="H15" i="104"/>
  <c r="H14" i="104"/>
  <c r="H13" i="104"/>
  <c r="H12" i="104"/>
  <c r="H11" i="104"/>
  <c r="H9" i="104"/>
  <c r="H8" i="104"/>
  <c r="H41" i="104" s="1"/>
  <c r="H33" i="103"/>
  <c r="H29" i="103"/>
  <c r="H28" i="103"/>
  <c r="H24" i="103"/>
  <c r="H23" i="103"/>
  <c r="H22" i="103"/>
  <c r="H21" i="103"/>
  <c r="H20" i="103"/>
  <c r="H19" i="103"/>
  <c r="H18" i="103"/>
  <c r="H17" i="103"/>
  <c r="H16" i="103"/>
  <c r="H15" i="103"/>
  <c r="H14" i="103"/>
  <c r="H13" i="103"/>
  <c r="H12" i="103"/>
  <c r="H11" i="103"/>
  <c r="H9" i="103"/>
  <c r="H8" i="103"/>
  <c r="H41" i="103" s="1"/>
  <c r="H33" i="102"/>
  <c r="H29" i="102"/>
  <c r="H28" i="102"/>
  <c r="H24" i="102"/>
  <c r="H23" i="102"/>
  <c r="H22" i="102"/>
  <c r="H21" i="102"/>
  <c r="H20" i="102"/>
  <c r="H19" i="102"/>
  <c r="H18" i="102"/>
  <c r="H17" i="102"/>
  <c r="H16" i="102"/>
  <c r="H15" i="102"/>
  <c r="H14" i="102"/>
  <c r="H13" i="102"/>
  <c r="H12" i="102"/>
  <c r="H11" i="102"/>
  <c r="H9" i="102"/>
  <c r="H8" i="102"/>
  <c r="H41" i="102" s="1"/>
  <c r="H33" i="101"/>
  <c r="H29" i="101"/>
  <c r="H28" i="101"/>
  <c r="H24" i="101"/>
  <c r="H23" i="101"/>
  <c r="H22" i="101"/>
  <c r="H21" i="101"/>
  <c r="H20" i="101"/>
  <c r="H19" i="101"/>
  <c r="H18" i="101"/>
  <c r="H17" i="101"/>
  <c r="H16" i="101"/>
  <c r="H15" i="101"/>
  <c r="H14" i="101"/>
  <c r="H13" i="101"/>
  <c r="H12" i="101"/>
  <c r="H11" i="101"/>
  <c r="H9" i="101"/>
  <c r="H8" i="101"/>
  <c r="H41" i="101" s="1"/>
  <c r="H33" i="100"/>
  <c r="H29" i="100"/>
  <c r="H28" i="100"/>
  <c r="H24" i="100"/>
  <c r="H23" i="100"/>
  <c r="H22" i="100"/>
  <c r="H21" i="100"/>
  <c r="H20" i="100"/>
  <c r="H19" i="100"/>
  <c r="H18" i="100"/>
  <c r="H17" i="100"/>
  <c r="H16" i="100"/>
  <c r="H15" i="100"/>
  <c r="H14" i="100"/>
  <c r="H13" i="100"/>
  <c r="H12" i="100"/>
  <c r="H11" i="100"/>
  <c r="H9" i="100"/>
  <c r="H8" i="100"/>
  <c r="H41" i="100" s="1"/>
  <c r="H33" i="99"/>
  <c r="H29" i="99"/>
  <c r="H28" i="99"/>
  <c r="H24" i="99"/>
  <c r="H23" i="99"/>
  <c r="H22" i="99"/>
  <c r="H21" i="99"/>
  <c r="H20" i="99"/>
  <c r="H19" i="99"/>
  <c r="H18" i="99"/>
  <c r="H17" i="99"/>
  <c r="H16" i="99"/>
  <c r="H15" i="99"/>
  <c r="H14" i="99"/>
  <c r="H13" i="99"/>
  <c r="H12" i="99"/>
  <c r="H11" i="99"/>
  <c r="H9" i="99"/>
  <c r="H8" i="99"/>
  <c r="H41" i="99" s="1"/>
  <c r="H33" i="98"/>
  <c r="H29" i="98"/>
  <c r="H28" i="98"/>
  <c r="H24" i="98"/>
  <c r="H23" i="98"/>
  <c r="H22" i="98"/>
  <c r="H21" i="98"/>
  <c r="H20" i="98"/>
  <c r="H19" i="98"/>
  <c r="H18" i="98"/>
  <c r="H17" i="98"/>
  <c r="H16" i="98"/>
  <c r="H15" i="98"/>
  <c r="H14" i="98"/>
  <c r="H13" i="98"/>
  <c r="H12" i="98"/>
  <c r="H11" i="98"/>
  <c r="H9" i="98"/>
  <c r="H8" i="98"/>
  <c r="H33" i="97"/>
  <c r="H29" i="97"/>
  <c r="H28" i="97"/>
  <c r="H24" i="97"/>
  <c r="H23" i="97"/>
  <c r="H22" i="97"/>
  <c r="H21" i="97"/>
  <c r="H20" i="97"/>
  <c r="H19" i="97"/>
  <c r="H18" i="97"/>
  <c r="H17" i="97"/>
  <c r="H16" i="97"/>
  <c r="H15" i="97"/>
  <c r="H14" i="97"/>
  <c r="H13" i="97"/>
  <c r="H12" i="97"/>
  <c r="H11" i="97"/>
  <c r="H9" i="97"/>
  <c r="H8" i="97"/>
  <c r="H41" i="97" s="1"/>
  <c r="H33" i="96"/>
  <c r="H29" i="96"/>
  <c r="H28" i="96"/>
  <c r="H24" i="96"/>
  <c r="H23" i="96"/>
  <c r="H22" i="96"/>
  <c r="H21" i="96"/>
  <c r="H20" i="96"/>
  <c r="H19" i="96"/>
  <c r="H18" i="96"/>
  <c r="H17" i="96"/>
  <c r="H16" i="96"/>
  <c r="H15" i="96"/>
  <c r="H14" i="96"/>
  <c r="H13" i="96"/>
  <c r="H12" i="96"/>
  <c r="H11" i="96"/>
  <c r="H9" i="96"/>
  <c r="H8" i="96"/>
  <c r="H33" i="95"/>
  <c r="H29" i="95"/>
  <c r="H28" i="95"/>
  <c r="H24" i="95"/>
  <c r="H23" i="95"/>
  <c r="H22" i="95"/>
  <c r="H21" i="95"/>
  <c r="H20" i="95"/>
  <c r="H19" i="95"/>
  <c r="H18" i="95"/>
  <c r="H17" i="95"/>
  <c r="H16" i="95"/>
  <c r="H15" i="95"/>
  <c r="H14" i="95"/>
  <c r="H13" i="95"/>
  <c r="H12" i="95"/>
  <c r="H11" i="95"/>
  <c r="H9" i="95"/>
  <c r="H8" i="95"/>
  <c r="H41" i="95" s="1"/>
  <c r="H33" i="94"/>
  <c r="H29" i="94"/>
  <c r="H28" i="94"/>
  <c r="H24" i="94"/>
  <c r="H23" i="94"/>
  <c r="H22" i="94"/>
  <c r="H21" i="94"/>
  <c r="H20" i="94"/>
  <c r="H19" i="94"/>
  <c r="H18" i="94"/>
  <c r="H17" i="94"/>
  <c r="H16" i="94"/>
  <c r="H15" i="94"/>
  <c r="H14" i="94"/>
  <c r="H13" i="94"/>
  <c r="H12" i="94"/>
  <c r="H11" i="94"/>
  <c r="H9" i="94"/>
  <c r="H8" i="94"/>
  <c r="H41" i="94" s="1"/>
  <c r="H33" i="93"/>
  <c r="H29" i="93"/>
  <c r="H28" i="93"/>
  <c r="H24" i="93"/>
  <c r="H23" i="93"/>
  <c r="H22" i="93"/>
  <c r="H21" i="93"/>
  <c r="H20" i="93"/>
  <c r="H19" i="93"/>
  <c r="H18" i="93"/>
  <c r="H17" i="93"/>
  <c r="H16" i="93"/>
  <c r="H15" i="93"/>
  <c r="H14" i="93"/>
  <c r="H13" i="93"/>
  <c r="H12" i="93"/>
  <c r="H11" i="93"/>
  <c r="H9" i="93"/>
  <c r="H8" i="93"/>
  <c r="H41" i="93" s="1"/>
  <c r="H38" i="67"/>
  <c r="H12" i="67"/>
  <c r="H11" i="67"/>
  <c r="H9" i="67"/>
  <c r="H8" i="67"/>
  <c r="H38" i="66"/>
  <c r="H19" i="66"/>
  <c r="H18" i="66"/>
  <c r="H17" i="66"/>
  <c r="H16" i="66"/>
  <c r="H15" i="66"/>
  <c r="H14" i="66"/>
  <c r="H13" i="66"/>
  <c r="H12" i="66"/>
  <c r="H11" i="66"/>
  <c r="H9" i="66"/>
  <c r="H8" i="66"/>
  <c r="H38" i="65"/>
  <c r="H12" i="65"/>
  <c r="H11" i="65"/>
  <c r="H9" i="65"/>
  <c r="H8" i="65"/>
  <c r="H39" i="64"/>
  <c r="H19" i="64"/>
  <c r="H18" i="64"/>
  <c r="H17" i="64"/>
  <c r="H16" i="64"/>
  <c r="H15" i="64"/>
  <c r="H14" i="64"/>
  <c r="H13" i="64"/>
  <c r="H12" i="64"/>
  <c r="H11" i="64"/>
  <c r="H9" i="64"/>
  <c r="H8" i="64"/>
  <c r="H38" i="63"/>
  <c r="H12" i="63"/>
  <c r="H11" i="63"/>
  <c r="H9" i="63"/>
  <c r="H8" i="63"/>
  <c r="H39" i="62"/>
  <c r="H19" i="62"/>
  <c r="H18" i="62"/>
  <c r="H17" i="62"/>
  <c r="H16" i="62"/>
  <c r="H15" i="62"/>
  <c r="H14" i="62"/>
  <c r="H13" i="62"/>
  <c r="H12" i="62"/>
  <c r="H11" i="62"/>
  <c r="H9" i="62"/>
  <c r="H8" i="62"/>
  <c r="H38" i="60"/>
  <c r="H34" i="60"/>
  <c r="H33" i="60"/>
  <c r="H24" i="60"/>
  <c r="H23" i="60"/>
  <c r="H22" i="60"/>
  <c r="H21" i="60"/>
  <c r="H20" i="60"/>
  <c r="H19" i="60"/>
  <c r="H12" i="60"/>
  <c r="H11" i="60"/>
  <c r="H9" i="60"/>
  <c r="H8" i="60"/>
  <c r="H38" i="59"/>
  <c r="H34" i="59"/>
  <c r="H33" i="59"/>
  <c r="H24" i="59"/>
  <c r="H23" i="59"/>
  <c r="H22" i="59"/>
  <c r="H21" i="59"/>
  <c r="H20" i="59"/>
  <c r="H19" i="59"/>
  <c r="H18" i="59"/>
  <c r="H17" i="59"/>
  <c r="H16" i="59"/>
  <c r="H15" i="59"/>
  <c r="H14" i="59"/>
  <c r="H13" i="59"/>
  <c r="H12" i="59"/>
  <c r="H11" i="59"/>
  <c r="H9" i="59"/>
  <c r="H8" i="59"/>
  <c r="H38" i="58"/>
  <c r="H34" i="58"/>
  <c r="H33" i="58"/>
  <c r="H24" i="58"/>
  <c r="H23" i="58"/>
  <c r="H22" i="58"/>
  <c r="H21" i="58"/>
  <c r="H20" i="58"/>
  <c r="H19" i="58"/>
  <c r="H12" i="58"/>
  <c r="H11" i="58"/>
  <c r="H9" i="58"/>
  <c r="H8" i="58"/>
  <c r="H38" i="57"/>
  <c r="H34" i="57"/>
  <c r="H33" i="57"/>
  <c r="H24" i="57"/>
  <c r="H23" i="57"/>
  <c r="H22" i="57"/>
  <c r="H21" i="57"/>
  <c r="H20" i="57"/>
  <c r="H19" i="57"/>
  <c r="H18" i="57"/>
  <c r="H17" i="57"/>
  <c r="H16" i="57"/>
  <c r="H15" i="57"/>
  <c r="H14" i="57"/>
  <c r="H13" i="57"/>
  <c r="H12" i="57"/>
  <c r="H11" i="57"/>
  <c r="H9" i="57"/>
  <c r="H8" i="57"/>
  <c r="H38" i="56"/>
  <c r="H34" i="56"/>
  <c r="H33" i="56"/>
  <c r="H24" i="56"/>
  <c r="H23" i="56"/>
  <c r="H22" i="56"/>
  <c r="H21" i="56"/>
  <c r="H20" i="56"/>
  <c r="H19" i="56"/>
  <c r="H12" i="56"/>
  <c r="H11" i="56"/>
  <c r="H9" i="56"/>
  <c r="H8" i="56"/>
  <c r="H38" i="55"/>
  <c r="H34" i="55"/>
  <c r="H33" i="55"/>
  <c r="H24" i="55"/>
  <c r="H23" i="55"/>
  <c r="H22" i="55"/>
  <c r="H21" i="55"/>
  <c r="H20" i="55"/>
  <c r="H19" i="55"/>
  <c r="H18" i="55"/>
  <c r="H17" i="55"/>
  <c r="H16" i="55"/>
  <c r="H15" i="55"/>
  <c r="H14" i="55"/>
  <c r="H13" i="55"/>
  <c r="H12" i="55"/>
  <c r="H11" i="55"/>
  <c r="H9" i="55"/>
  <c r="H8" i="55"/>
  <c r="H38" i="54"/>
  <c r="H24" i="54"/>
  <c r="H23" i="54"/>
  <c r="H22" i="54"/>
  <c r="H21" i="54"/>
  <c r="H20" i="54"/>
  <c r="H19" i="54"/>
  <c r="H12" i="54"/>
  <c r="H11" i="54"/>
  <c r="H9" i="54"/>
  <c r="H8" i="54"/>
  <c r="H49" i="53"/>
  <c r="H47" i="53"/>
  <c r="H38" i="53"/>
  <c r="H34" i="53"/>
  <c r="H33" i="53"/>
  <c r="H24" i="53"/>
  <c r="H23" i="53"/>
  <c r="H22" i="53"/>
  <c r="H21" i="53"/>
  <c r="H20" i="53"/>
  <c r="H19" i="53"/>
  <c r="H18" i="53"/>
  <c r="H17" i="53"/>
  <c r="H16" i="53"/>
  <c r="H15" i="53"/>
  <c r="H14" i="53"/>
  <c r="H13" i="53"/>
  <c r="H12" i="53"/>
  <c r="H11" i="53"/>
  <c r="H9" i="53"/>
  <c r="H8" i="53"/>
  <c r="H38" i="52"/>
  <c r="H24" i="52"/>
  <c r="H23" i="52"/>
  <c r="H22" i="52"/>
  <c r="H21" i="52"/>
  <c r="H20" i="52"/>
  <c r="H19" i="52"/>
  <c r="H18" i="52"/>
  <c r="H12" i="52"/>
  <c r="H11" i="52"/>
  <c r="H38" i="51"/>
  <c r="H24" i="51"/>
  <c r="H23" i="51"/>
  <c r="H22" i="51"/>
  <c r="H21" i="51"/>
  <c r="H20" i="51"/>
  <c r="H19" i="51"/>
  <c r="H18" i="51"/>
  <c r="H17" i="51"/>
  <c r="H16" i="51"/>
  <c r="H15" i="51"/>
  <c r="H14" i="51"/>
  <c r="H13" i="51"/>
  <c r="H12" i="51"/>
  <c r="H11" i="51"/>
  <c r="H38" i="50"/>
  <c r="H24" i="50"/>
  <c r="H23" i="50"/>
  <c r="H22" i="50"/>
  <c r="H21" i="50"/>
  <c r="H20" i="50"/>
  <c r="H19" i="50"/>
  <c r="H18" i="50"/>
  <c r="H12" i="50"/>
  <c r="H11" i="50"/>
  <c r="H38" i="49"/>
  <c r="H24" i="49"/>
  <c r="H23" i="49"/>
  <c r="H22" i="49"/>
  <c r="H21" i="49"/>
  <c r="H20" i="49"/>
  <c r="H19" i="49"/>
  <c r="H18" i="49"/>
  <c r="H17" i="49"/>
  <c r="H16" i="49"/>
  <c r="H15" i="49"/>
  <c r="H14" i="49"/>
  <c r="H13" i="49"/>
  <c r="H12" i="49"/>
  <c r="H11" i="49"/>
  <c r="H38" i="48"/>
  <c r="H24" i="48"/>
  <c r="H23" i="48"/>
  <c r="H22" i="48"/>
  <c r="H21" i="48"/>
  <c r="H20" i="48"/>
  <c r="H19" i="48"/>
  <c r="H18" i="48"/>
  <c r="H12" i="48"/>
  <c r="H11" i="48"/>
  <c r="H38" i="47"/>
  <c r="H24" i="47"/>
  <c r="H23" i="47"/>
  <c r="H22" i="47"/>
  <c r="H21" i="47"/>
  <c r="H20" i="47"/>
  <c r="H19" i="47"/>
  <c r="H18" i="47"/>
  <c r="H17" i="47"/>
  <c r="H16" i="47"/>
  <c r="H15" i="47"/>
  <c r="H14" i="47"/>
  <c r="H13" i="47"/>
  <c r="H12" i="47"/>
  <c r="H11" i="47"/>
  <c r="H38" i="46"/>
  <c r="H24" i="46"/>
  <c r="H23" i="46"/>
  <c r="H22" i="46"/>
  <c r="H21" i="46"/>
  <c r="H20" i="46"/>
  <c r="H19" i="46"/>
  <c r="H18" i="46"/>
  <c r="H12" i="46"/>
  <c r="H11" i="46"/>
  <c r="H38" i="45"/>
  <c r="H24" i="45"/>
  <c r="H23" i="45"/>
  <c r="H22" i="45"/>
  <c r="H21" i="45"/>
  <c r="H20" i="45"/>
  <c r="H19" i="45"/>
  <c r="H18" i="45"/>
  <c r="H17" i="45"/>
  <c r="H16" i="45"/>
  <c r="H15" i="45"/>
  <c r="H14" i="45"/>
  <c r="H13" i="45"/>
  <c r="H12" i="45"/>
  <c r="H11" i="45"/>
  <c r="H33" i="41"/>
  <c r="H29" i="41"/>
  <c r="H28" i="41"/>
  <c r="H24" i="41"/>
  <c r="H23" i="41"/>
  <c r="H22" i="41"/>
  <c r="H21" i="41"/>
  <c r="H20" i="41"/>
  <c r="H19" i="41"/>
  <c r="H18" i="41"/>
  <c r="H17" i="41"/>
  <c r="H16" i="41"/>
  <c r="H15" i="41"/>
  <c r="H14" i="41"/>
  <c r="H13" i="41"/>
  <c r="H12" i="41"/>
  <c r="H11" i="41"/>
  <c r="H9" i="41"/>
  <c r="H8" i="41"/>
  <c r="H41" i="41" s="1"/>
  <c r="H33" i="40"/>
  <c r="H29" i="40"/>
  <c r="H28" i="40"/>
  <c r="H24" i="40"/>
  <c r="H23" i="40"/>
  <c r="H22" i="40"/>
  <c r="H21" i="40"/>
  <c r="H20" i="40"/>
  <c r="H19" i="40"/>
  <c r="H18" i="40"/>
  <c r="H17" i="40"/>
  <c r="H16" i="40"/>
  <c r="H15" i="40"/>
  <c r="H14" i="40"/>
  <c r="H13" i="40"/>
  <c r="H12" i="40"/>
  <c r="H11" i="40"/>
  <c r="H9" i="40"/>
  <c r="H8" i="40"/>
  <c r="H41" i="40" s="1"/>
  <c r="H33" i="39"/>
  <c r="H29" i="39"/>
  <c r="H28" i="39"/>
  <c r="H24" i="39"/>
  <c r="H23" i="39"/>
  <c r="H22" i="39"/>
  <c r="H21" i="39"/>
  <c r="H20" i="39"/>
  <c r="H19" i="39"/>
  <c r="H18" i="39"/>
  <c r="H17" i="39"/>
  <c r="H16" i="39"/>
  <c r="H15" i="39"/>
  <c r="H14" i="39"/>
  <c r="H13" i="39"/>
  <c r="H12" i="39"/>
  <c r="H11" i="39"/>
  <c r="H9" i="39"/>
  <c r="H8" i="39"/>
  <c r="H41" i="39" s="1"/>
  <c r="H33" i="38"/>
  <c r="H29" i="38"/>
  <c r="H28" i="38"/>
  <c r="H24" i="38"/>
  <c r="H23" i="38"/>
  <c r="H22" i="38"/>
  <c r="H21" i="38"/>
  <c r="H20" i="38"/>
  <c r="H19" i="38"/>
  <c r="H18" i="38"/>
  <c r="H17" i="38"/>
  <c r="H16" i="38"/>
  <c r="H15" i="38"/>
  <c r="H14" i="38"/>
  <c r="H13" i="38"/>
  <c r="H12" i="38"/>
  <c r="H11" i="38"/>
  <c r="H9" i="38"/>
  <c r="H8" i="38"/>
  <c r="H33" i="37"/>
  <c r="H29" i="37"/>
  <c r="H28" i="37"/>
  <c r="H24" i="37"/>
  <c r="H23" i="37"/>
  <c r="H22" i="37"/>
  <c r="H21" i="37"/>
  <c r="H20" i="37"/>
  <c r="H19" i="37"/>
  <c r="H18" i="37"/>
  <c r="H17" i="37"/>
  <c r="H16" i="37"/>
  <c r="H15" i="37"/>
  <c r="H14" i="37"/>
  <c r="H13" i="37"/>
  <c r="H12" i="37"/>
  <c r="H11" i="37"/>
  <c r="H9" i="37"/>
  <c r="H8" i="37"/>
  <c r="H33" i="36"/>
  <c r="H29" i="36"/>
  <c r="H28" i="36"/>
  <c r="H24" i="36"/>
  <c r="H23" i="36"/>
  <c r="H22" i="36"/>
  <c r="H21" i="36"/>
  <c r="H20" i="36"/>
  <c r="H19" i="36"/>
  <c r="H18" i="36"/>
  <c r="H17" i="36"/>
  <c r="H16" i="36"/>
  <c r="H15" i="36"/>
  <c r="H14" i="36"/>
  <c r="H13" i="36"/>
  <c r="H12" i="36"/>
  <c r="H11" i="36"/>
  <c r="H9" i="36"/>
  <c r="H8" i="36"/>
  <c r="H41" i="36" s="1"/>
  <c r="H33" i="35"/>
  <c r="H29" i="35"/>
  <c r="H28" i="35"/>
  <c r="H24" i="35"/>
  <c r="H23" i="35"/>
  <c r="H22" i="35"/>
  <c r="H21" i="35"/>
  <c r="H20" i="35"/>
  <c r="H19" i="35"/>
  <c r="H18" i="35"/>
  <c r="H17" i="35"/>
  <c r="H16" i="35"/>
  <c r="H15" i="35"/>
  <c r="H14" i="35"/>
  <c r="H13" i="35"/>
  <c r="H12" i="35"/>
  <c r="H11" i="35"/>
  <c r="H9" i="35"/>
  <c r="H8" i="35"/>
  <c r="H33" i="34"/>
  <c r="H29" i="34"/>
  <c r="H28" i="34"/>
  <c r="H24" i="34"/>
  <c r="H23" i="34"/>
  <c r="H22" i="34"/>
  <c r="H21" i="34"/>
  <c r="H20" i="34"/>
  <c r="H19" i="34"/>
  <c r="H18" i="34"/>
  <c r="H17" i="34"/>
  <c r="H16" i="34"/>
  <c r="H15" i="34"/>
  <c r="H14" i="34"/>
  <c r="H13" i="34"/>
  <c r="H12" i="34"/>
  <c r="H11" i="34"/>
  <c r="H9" i="34"/>
  <c r="H8" i="34"/>
  <c r="H33" i="33"/>
  <c r="H29" i="33"/>
  <c r="H28" i="33"/>
  <c r="H24" i="33"/>
  <c r="H23" i="33"/>
  <c r="H22" i="33"/>
  <c r="H21" i="33"/>
  <c r="H20" i="33"/>
  <c r="H19" i="33"/>
  <c r="H18" i="33"/>
  <c r="H17" i="33"/>
  <c r="H16" i="33"/>
  <c r="H15" i="33"/>
  <c r="H14" i="33"/>
  <c r="H13" i="33"/>
  <c r="H12" i="33"/>
  <c r="H11" i="33"/>
  <c r="H9" i="33"/>
  <c r="H8" i="33"/>
  <c r="H33" i="32"/>
  <c r="H29" i="32"/>
  <c r="H28" i="32"/>
  <c r="H24" i="32"/>
  <c r="H23" i="32"/>
  <c r="H22" i="32"/>
  <c r="H21" i="32"/>
  <c r="H20" i="32"/>
  <c r="H19" i="32"/>
  <c r="H18" i="32"/>
  <c r="H17" i="32"/>
  <c r="H16" i="32"/>
  <c r="H15" i="32"/>
  <c r="H14" i="32"/>
  <c r="H13" i="32"/>
  <c r="H12" i="32"/>
  <c r="H11" i="32"/>
  <c r="H9" i="32"/>
  <c r="H8" i="32"/>
  <c r="H41" i="32" s="1"/>
  <c r="H33" i="31"/>
  <c r="H29" i="31"/>
  <c r="H28" i="31"/>
  <c r="H24" i="31"/>
  <c r="H23" i="31"/>
  <c r="H22" i="31"/>
  <c r="H21" i="31"/>
  <c r="H20" i="31"/>
  <c r="H19" i="31"/>
  <c r="H18" i="31"/>
  <c r="H17" i="31"/>
  <c r="H16" i="31"/>
  <c r="H15" i="31"/>
  <c r="H14" i="31"/>
  <c r="H13" i="31"/>
  <c r="H12" i="31"/>
  <c r="H11" i="31"/>
  <c r="H9" i="31"/>
  <c r="H8" i="31"/>
  <c r="H41" i="31" s="1"/>
  <c r="H33" i="30"/>
  <c r="H29" i="30"/>
  <c r="H28" i="30"/>
  <c r="H24" i="30"/>
  <c r="H23" i="30"/>
  <c r="H22" i="30"/>
  <c r="H21" i="30"/>
  <c r="H20" i="30"/>
  <c r="H19" i="30"/>
  <c r="H18" i="30"/>
  <c r="H17" i="30"/>
  <c r="H16" i="30"/>
  <c r="H15" i="30"/>
  <c r="H14" i="30"/>
  <c r="H13" i="30"/>
  <c r="H12" i="30"/>
  <c r="H11" i="30"/>
  <c r="H9" i="30"/>
  <c r="H8" i="30"/>
  <c r="H38" i="16"/>
  <c r="H12" i="16"/>
  <c r="H11" i="16"/>
  <c r="H9" i="16"/>
  <c r="H8" i="16"/>
  <c r="H38" i="13"/>
  <c r="H19" i="13"/>
  <c r="H18" i="13"/>
  <c r="H17" i="13"/>
  <c r="H16" i="13"/>
  <c r="H15" i="13"/>
  <c r="H14" i="13"/>
  <c r="H13" i="13"/>
  <c r="H12" i="13"/>
  <c r="H11" i="13"/>
  <c r="H9" i="13"/>
  <c r="H8" i="13"/>
  <c r="H38" i="15"/>
  <c r="H12" i="15"/>
  <c r="H11" i="15"/>
  <c r="H9" i="15"/>
  <c r="H8" i="15"/>
  <c r="H39" i="12"/>
  <c r="H19" i="12"/>
  <c r="H18" i="12"/>
  <c r="H17" i="12"/>
  <c r="H16" i="12"/>
  <c r="H15" i="12"/>
  <c r="H14" i="12"/>
  <c r="H13" i="12"/>
  <c r="H12" i="12"/>
  <c r="H11" i="12"/>
  <c r="H9" i="12"/>
  <c r="H8" i="12"/>
  <c r="H38" i="14"/>
  <c r="H24" i="14"/>
  <c r="H23" i="14"/>
  <c r="H20" i="14"/>
  <c r="H19" i="14"/>
  <c r="H12" i="14"/>
  <c r="H11" i="14"/>
  <c r="H9" i="14"/>
  <c r="H8" i="14"/>
  <c r="H39" i="11"/>
  <c r="H24" i="11"/>
  <c r="H23" i="11"/>
  <c r="H20" i="11"/>
  <c r="H19" i="11"/>
  <c r="H18" i="11"/>
  <c r="H17" i="11"/>
  <c r="H16" i="11"/>
  <c r="H15" i="11"/>
  <c r="H14" i="11"/>
  <c r="H13" i="11"/>
  <c r="H12" i="11"/>
  <c r="H11" i="11"/>
  <c r="H9" i="11"/>
  <c r="H8" i="11"/>
  <c r="H38" i="10"/>
  <c r="H34" i="10"/>
  <c r="H33" i="10"/>
  <c r="H24" i="10"/>
  <c r="H23" i="10"/>
  <c r="H22" i="10"/>
  <c r="H21" i="10"/>
  <c r="H20" i="10"/>
  <c r="H19" i="10"/>
  <c r="H12" i="10"/>
  <c r="H11" i="10"/>
  <c r="H9" i="10"/>
  <c r="H8" i="10"/>
  <c r="H38" i="9"/>
  <c r="H34" i="9"/>
  <c r="H33" i="9"/>
  <c r="H24" i="9"/>
  <c r="H23" i="9"/>
  <c r="H22" i="9"/>
  <c r="H21" i="9"/>
  <c r="H20" i="9"/>
  <c r="H19" i="9"/>
  <c r="H18" i="9"/>
  <c r="H17" i="9"/>
  <c r="H16" i="9"/>
  <c r="H15" i="9"/>
  <c r="H14" i="9"/>
  <c r="H13" i="9"/>
  <c r="H12" i="9"/>
  <c r="H11" i="9"/>
  <c r="H9" i="9"/>
  <c r="H8" i="9"/>
  <c r="H38" i="7"/>
  <c r="H24" i="7"/>
  <c r="H23" i="7"/>
  <c r="H22" i="7"/>
  <c r="H21" i="7"/>
  <c r="H20" i="7"/>
  <c r="H19" i="7"/>
  <c r="H18" i="7"/>
  <c r="H12" i="7"/>
  <c r="H11" i="7"/>
  <c r="H38" i="6"/>
  <c r="H24" i="6"/>
  <c r="H23" i="6"/>
  <c r="H22" i="6"/>
  <c r="H21" i="6"/>
  <c r="H20" i="6"/>
  <c r="H19" i="6"/>
  <c r="H18" i="6"/>
  <c r="H17" i="6"/>
  <c r="H16" i="6"/>
  <c r="H15" i="6"/>
  <c r="H14" i="6"/>
  <c r="H13" i="6"/>
  <c r="H12" i="6"/>
  <c r="H11" i="6"/>
  <c r="H38" i="4"/>
  <c r="H24" i="4"/>
  <c r="H23" i="4"/>
  <c r="H22" i="4"/>
  <c r="H21" i="4"/>
  <c r="H20" i="4"/>
  <c r="H19" i="4"/>
  <c r="H18" i="4"/>
  <c r="H12" i="4"/>
  <c r="H11" i="4"/>
  <c r="H38" i="3"/>
  <c r="H17" i="3"/>
  <c r="H16" i="3"/>
  <c r="H15" i="3"/>
  <c r="H14" i="3"/>
  <c r="H13" i="3"/>
  <c r="H12" i="3"/>
  <c r="H11" i="3"/>
  <c r="H38" i="8"/>
  <c r="H34" i="8"/>
  <c r="H33" i="8"/>
  <c r="H24" i="8"/>
  <c r="H23" i="8"/>
  <c r="H22" i="8"/>
  <c r="H21" i="8"/>
  <c r="H20" i="8"/>
  <c r="H19" i="8"/>
  <c r="H12" i="8"/>
  <c r="H11" i="8"/>
  <c r="H9" i="8"/>
  <c r="H8" i="8"/>
  <c r="H34" i="5"/>
  <c r="H33" i="5"/>
  <c r="H24" i="5"/>
  <c r="H23" i="5"/>
  <c r="H22" i="5"/>
  <c r="H21" i="5"/>
  <c r="H15" i="5"/>
  <c r="H16" i="5"/>
  <c r="H17" i="5"/>
  <c r="H18" i="5"/>
  <c r="H19" i="5"/>
  <c r="H20" i="5"/>
  <c r="H14" i="5"/>
  <c r="H13" i="5"/>
  <c r="H35" i="65" l="1"/>
  <c r="H10" i="34"/>
  <c r="H41" i="34"/>
  <c r="H10" i="37"/>
  <c r="H41" i="37"/>
  <c r="H10" i="35"/>
  <c r="H41" i="35"/>
  <c r="H10" i="98"/>
  <c r="H41" i="98"/>
  <c r="H10" i="30"/>
  <c r="H41" i="30"/>
  <c r="H10" i="38"/>
  <c r="H41" i="38"/>
  <c r="H10" i="33"/>
  <c r="H41" i="33"/>
  <c r="H10" i="96"/>
  <c r="H41" i="96"/>
  <c r="H10" i="67"/>
  <c r="H10" i="16"/>
  <c r="H10" i="63"/>
  <c r="H10" i="15"/>
  <c r="H10" i="11"/>
  <c r="H10" i="59"/>
  <c r="H10" i="58"/>
  <c r="H10" i="53"/>
  <c r="H10" i="46"/>
  <c r="H30" i="34"/>
  <c r="H10" i="52"/>
  <c r="H10" i="48"/>
  <c r="H10" i="95"/>
  <c r="H30" i="36"/>
  <c r="H10" i="97"/>
  <c r="H30" i="31"/>
  <c r="H10" i="32"/>
  <c r="H32" i="32" s="1"/>
  <c r="H30" i="35"/>
  <c r="H32" i="35" s="1"/>
  <c r="H10" i="45"/>
  <c r="H35" i="47"/>
  <c r="H10" i="50"/>
  <c r="H10" i="51"/>
  <c r="H30" i="112"/>
  <c r="H30" i="32"/>
  <c r="H10" i="8"/>
  <c r="H35" i="4"/>
  <c r="H10" i="14"/>
  <c r="H10" i="31"/>
  <c r="H10" i="118"/>
  <c r="H35" i="6"/>
  <c r="H10" i="13"/>
  <c r="H30" i="38"/>
  <c r="H32" i="38" s="1"/>
  <c r="H30" i="40"/>
  <c r="H35" i="49"/>
  <c r="H10" i="54"/>
  <c r="H10" i="56"/>
  <c r="H35" i="59"/>
  <c r="H10" i="94"/>
  <c r="H10" i="102"/>
  <c r="H10" i="112"/>
  <c r="H10" i="7"/>
  <c r="H10" i="10"/>
  <c r="H36" i="11"/>
  <c r="H36" i="12"/>
  <c r="H10" i="39"/>
  <c r="H30" i="95"/>
  <c r="H32" i="95" s="1"/>
  <c r="H32" i="31"/>
  <c r="H30" i="98"/>
  <c r="H32" i="98" s="1"/>
  <c r="H30" i="104"/>
  <c r="H30" i="116"/>
  <c r="H30" i="33"/>
  <c r="H32" i="33" s="1"/>
  <c r="H30" i="37"/>
  <c r="H32" i="37" s="1"/>
  <c r="H10" i="41"/>
  <c r="H35" i="46"/>
  <c r="H10" i="64"/>
  <c r="H10" i="93"/>
  <c r="H32" i="93" s="1"/>
  <c r="H10" i="111"/>
  <c r="H10" i="113"/>
  <c r="H10" i="115"/>
  <c r="H35" i="118"/>
  <c r="H35" i="120"/>
  <c r="H30" i="96"/>
  <c r="H32" i="96" s="1"/>
  <c r="H30" i="107"/>
  <c r="H30" i="110"/>
  <c r="H10" i="36"/>
  <c r="H32" i="36" s="1"/>
  <c r="H30" i="39"/>
  <c r="H35" i="48"/>
  <c r="H35" i="53"/>
  <c r="H36" i="62"/>
  <c r="H35" i="9"/>
  <c r="H30" i="94"/>
  <c r="H32" i="94" s="1"/>
  <c r="H30" i="101"/>
  <c r="H30" i="108"/>
  <c r="H30" i="115"/>
  <c r="H10" i="9"/>
  <c r="H10" i="40"/>
  <c r="H32" i="40" s="1"/>
  <c r="H30" i="41"/>
  <c r="H32" i="34"/>
  <c r="H35" i="50"/>
  <c r="H36" i="64"/>
  <c r="H30" i="102"/>
  <c r="H32" i="102" s="1"/>
  <c r="H37" i="121"/>
  <c r="H35" i="51"/>
  <c r="H30" i="100"/>
  <c r="H10" i="12"/>
  <c r="H30" i="30"/>
  <c r="H32" i="30" s="1"/>
  <c r="H35" i="45"/>
  <c r="H35" i="55"/>
  <c r="H35" i="57"/>
  <c r="H30" i="93"/>
  <c r="H30" i="97"/>
  <c r="H30" i="99"/>
  <c r="H30" i="103"/>
  <c r="H30" i="105"/>
  <c r="H30" i="106"/>
  <c r="H30" i="109"/>
  <c r="H32" i="109" s="1"/>
  <c r="H30" i="111"/>
  <c r="H32" i="111" s="1"/>
  <c r="H30" i="113"/>
  <c r="H30" i="114"/>
  <c r="H35" i="15"/>
  <c r="H35" i="67"/>
  <c r="H35" i="16"/>
  <c r="H35" i="63"/>
  <c r="H35" i="14"/>
  <c r="H35" i="60"/>
  <c r="H35" i="58"/>
  <c r="H35" i="56"/>
  <c r="H35" i="54"/>
  <c r="H35" i="10"/>
  <c r="H35" i="119"/>
  <c r="H35" i="52"/>
  <c r="H10" i="120"/>
  <c r="H10" i="119"/>
  <c r="H10" i="117"/>
  <c r="H35" i="7"/>
  <c r="H10" i="116"/>
  <c r="H32" i="116" s="1"/>
  <c r="H10" i="114"/>
  <c r="H32" i="112"/>
  <c r="H10" i="110"/>
  <c r="H32" i="110" s="1"/>
  <c r="H10" i="109"/>
  <c r="H10" i="108"/>
  <c r="H10" i="107"/>
  <c r="H10" i="106"/>
  <c r="H10" i="105"/>
  <c r="H10" i="104"/>
  <c r="H32" i="104" s="1"/>
  <c r="H10" i="103"/>
  <c r="H10" i="101"/>
  <c r="H10" i="100"/>
  <c r="H10" i="99"/>
  <c r="H10" i="66"/>
  <c r="H10" i="65"/>
  <c r="H10" i="62"/>
  <c r="H10" i="60"/>
  <c r="H10" i="57"/>
  <c r="H10" i="55"/>
  <c r="H10" i="49"/>
  <c r="H10" i="47"/>
  <c r="H35" i="3"/>
  <c r="H10" i="6"/>
  <c r="H10" i="4"/>
  <c r="H10" i="3"/>
  <c r="H35" i="8"/>
  <c r="K8" i="129"/>
  <c r="K4" i="129"/>
  <c r="K13" i="129"/>
  <c r="K7" i="129"/>
  <c r="K10" i="129"/>
  <c r="K5" i="129"/>
  <c r="K6" i="129"/>
  <c r="K12" i="129"/>
  <c r="K14" i="129"/>
  <c r="H37" i="16" l="1"/>
  <c r="H37" i="63"/>
  <c r="H38" i="64"/>
  <c r="H37" i="47"/>
  <c r="H37" i="120"/>
  <c r="H37" i="14"/>
  <c r="H37" i="45"/>
  <c r="H37" i="67"/>
  <c r="H37" i="15"/>
  <c r="H37" i="48"/>
  <c r="H36" i="38"/>
  <c r="H34" i="38"/>
  <c r="H38" i="38"/>
  <c r="H36" i="30"/>
  <c r="H34" i="30"/>
  <c r="H38" i="30"/>
  <c r="H36" i="35"/>
  <c r="H38" i="35"/>
  <c r="H34" i="35"/>
  <c r="H34" i="32"/>
  <c r="H36" i="32"/>
  <c r="H38" i="32"/>
  <c r="H36" i="37"/>
  <c r="H34" i="37"/>
  <c r="H38" i="37"/>
  <c r="H34" i="98"/>
  <c r="H36" i="98"/>
  <c r="H38" i="98"/>
  <c r="H37" i="59"/>
  <c r="H37" i="53"/>
  <c r="H38" i="33"/>
  <c r="H34" i="33"/>
  <c r="H36" i="33"/>
  <c r="H36" i="112"/>
  <c r="H34" i="112"/>
  <c r="H38" i="112"/>
  <c r="H36" i="111"/>
  <c r="H38" i="111"/>
  <c r="H34" i="111"/>
  <c r="H34" i="34"/>
  <c r="H38" i="34"/>
  <c r="H36" i="34"/>
  <c r="H38" i="93"/>
  <c r="H34" i="93"/>
  <c r="H36" i="93"/>
  <c r="H36" i="95"/>
  <c r="H38" i="95"/>
  <c r="H34" i="95"/>
  <c r="H34" i="31"/>
  <c r="H38" i="31"/>
  <c r="H36" i="31"/>
  <c r="H34" i="104"/>
  <c r="H38" i="104"/>
  <c r="H36" i="104"/>
  <c r="H34" i="109"/>
  <c r="H38" i="109"/>
  <c r="H36" i="109"/>
  <c r="H38" i="94"/>
  <c r="H34" i="94"/>
  <c r="H36" i="94"/>
  <c r="H34" i="102"/>
  <c r="H36" i="102"/>
  <c r="H38" i="102"/>
  <c r="H34" i="110"/>
  <c r="H38" i="110"/>
  <c r="H36" i="110"/>
  <c r="H37" i="58"/>
  <c r="H34" i="36"/>
  <c r="H38" i="36"/>
  <c r="H36" i="36"/>
  <c r="H38" i="116"/>
  <c r="H34" i="116"/>
  <c r="H36" i="116"/>
  <c r="H34" i="40"/>
  <c r="H36" i="40"/>
  <c r="H38" i="40"/>
  <c r="H36" i="96"/>
  <c r="H34" i="96"/>
  <c r="H38" i="96"/>
  <c r="H39" i="121"/>
  <c r="H41" i="121" s="1"/>
  <c r="H37" i="56"/>
  <c r="H37" i="9"/>
  <c r="H37" i="52"/>
  <c r="H37" i="51"/>
  <c r="H37" i="46"/>
  <c r="H37" i="4"/>
  <c r="H37" i="3"/>
  <c r="H37" i="7"/>
  <c r="H32" i="114"/>
  <c r="H32" i="97"/>
  <c r="H37" i="55"/>
  <c r="H37" i="50"/>
  <c r="H37" i="13"/>
  <c r="H37" i="119"/>
  <c r="H37" i="60"/>
  <c r="H32" i="103"/>
  <c r="H37" i="118"/>
  <c r="H37" i="10"/>
  <c r="H37" i="57"/>
  <c r="H37" i="6"/>
  <c r="H32" i="107"/>
  <c r="H32" i="115"/>
  <c r="H32" i="113"/>
  <c r="H37" i="65"/>
  <c r="H38" i="11"/>
  <c r="H37" i="66"/>
  <c r="H32" i="101"/>
  <c r="H32" i="41"/>
  <c r="H37" i="117"/>
  <c r="H38" i="62"/>
  <c r="H37" i="54"/>
  <c r="H32" i="39"/>
  <c r="H38" i="12"/>
  <c r="H37" i="49"/>
  <c r="H32" i="108"/>
  <c r="H32" i="106"/>
  <c r="H32" i="105"/>
  <c r="H32" i="100"/>
  <c r="H32" i="99"/>
  <c r="H37" i="8"/>
  <c r="H39" i="16" l="1"/>
  <c r="H41" i="16" s="1"/>
  <c r="H39" i="45"/>
  <c r="H39" i="120"/>
  <c r="H41" i="120" s="1"/>
  <c r="H39" i="48"/>
  <c r="H41" i="48" s="1"/>
  <c r="H39" i="47"/>
  <c r="H41" i="47" s="1"/>
  <c r="H39" i="15"/>
  <c r="H41" i="15" s="1"/>
  <c r="H43" i="15" s="1"/>
  <c r="H40" i="64"/>
  <c r="H42" i="64" s="1"/>
  <c r="H39" i="58"/>
  <c r="H41" i="58" s="1"/>
  <c r="H39" i="53"/>
  <c r="H41" i="53" s="1"/>
  <c r="H39" i="63"/>
  <c r="H41" i="63" s="1"/>
  <c r="H39" i="67"/>
  <c r="H41" i="67" s="1"/>
  <c r="H39" i="14"/>
  <c r="H41" i="14" s="1"/>
  <c r="H43" i="14" s="1"/>
  <c r="H39" i="59"/>
  <c r="H41" i="59" s="1"/>
  <c r="H43" i="59" s="1"/>
  <c r="H38" i="41"/>
  <c r="H34" i="41"/>
  <c r="H36" i="41"/>
  <c r="H36" i="97"/>
  <c r="H34" i="97"/>
  <c r="H38" i="97"/>
  <c r="H36" i="107"/>
  <c r="H34" i="107"/>
  <c r="H38" i="107"/>
  <c r="H36" i="101"/>
  <c r="H34" i="101"/>
  <c r="H38" i="101"/>
  <c r="H34" i="114"/>
  <c r="H36" i="114"/>
  <c r="H38" i="114"/>
  <c r="H38" i="105"/>
  <c r="H34" i="105"/>
  <c r="H36" i="105"/>
  <c r="H34" i="115"/>
  <c r="H38" i="115"/>
  <c r="H36" i="115"/>
  <c r="H36" i="108"/>
  <c r="H34" i="108"/>
  <c r="H38" i="108"/>
  <c r="H43" i="121"/>
  <c r="H34" i="99"/>
  <c r="H38" i="99"/>
  <c r="H36" i="99"/>
  <c r="H36" i="113"/>
  <c r="H34" i="113"/>
  <c r="H38" i="113"/>
  <c r="H39" i="3"/>
  <c r="H34" i="39"/>
  <c r="H36" i="39"/>
  <c r="H38" i="39"/>
  <c r="H38" i="106"/>
  <c r="H36" i="106"/>
  <c r="H34" i="106"/>
  <c r="H38" i="100"/>
  <c r="H34" i="100"/>
  <c r="H36" i="100"/>
  <c r="H38" i="103"/>
  <c r="H34" i="103"/>
  <c r="H36" i="103"/>
  <c r="H39" i="66"/>
  <c r="H39" i="13"/>
  <c r="H39" i="65"/>
  <c r="H41" i="65" s="1"/>
  <c r="H43" i="65" s="1"/>
  <c r="H40" i="62"/>
  <c r="H40" i="12"/>
  <c r="H40" i="11"/>
  <c r="H42" i="11" s="1"/>
  <c r="H39" i="60"/>
  <c r="H39" i="57"/>
  <c r="H39" i="56"/>
  <c r="H41" i="56" s="1"/>
  <c r="H39" i="55"/>
  <c r="H41" i="55" s="1"/>
  <c r="H43" i="55" s="1"/>
  <c r="H39" i="54"/>
  <c r="H41" i="54" s="1"/>
  <c r="H43" i="54" s="1"/>
  <c r="H39" i="10"/>
  <c r="H39" i="9"/>
  <c r="H41" i="9" s="1"/>
  <c r="H39" i="119"/>
  <c r="H39" i="8"/>
  <c r="H41" i="8" s="1"/>
  <c r="H39" i="52"/>
  <c r="H41" i="52" s="1"/>
  <c r="H43" i="52" s="1"/>
  <c r="H39" i="51"/>
  <c r="H39" i="50"/>
  <c r="H39" i="49"/>
  <c r="H39" i="46"/>
  <c r="H39" i="7"/>
  <c r="H41" i="7" s="1"/>
  <c r="H43" i="7" s="1"/>
  <c r="H39" i="6"/>
  <c r="H39" i="118"/>
  <c r="H39" i="117"/>
  <c r="H39" i="4"/>
  <c r="H9" i="5"/>
  <c r="H11" i="5"/>
  <c r="H12" i="5"/>
  <c r="H35" i="5" s="1"/>
  <c r="H38" i="5"/>
  <c r="H47" i="5"/>
  <c r="H49" i="5"/>
  <c r="H8" i="5"/>
  <c r="L7" i="129"/>
  <c r="L8" i="129"/>
  <c r="L13" i="129"/>
  <c r="L14" i="129"/>
  <c r="L5" i="129"/>
  <c r="L6" i="129"/>
  <c r="L12" i="129"/>
  <c r="L10" i="129"/>
  <c r="L4" i="129"/>
  <c r="H41" i="118" l="1"/>
  <c r="H43" i="118" s="1"/>
  <c r="H41" i="6"/>
  <c r="H41" i="3"/>
  <c r="H41" i="49"/>
  <c r="H41" i="50"/>
  <c r="H43" i="50" s="1"/>
  <c r="H41" i="45"/>
  <c r="H43" i="45" s="1"/>
  <c r="H41" i="4"/>
  <c r="H41" i="117"/>
  <c r="H43" i="16"/>
  <c r="H45" i="16" s="1"/>
  <c r="H48" i="16" s="1"/>
  <c r="H43" i="53"/>
  <c r="H45" i="53" s="1"/>
  <c r="H43" i="48"/>
  <c r="H45" i="48" s="1"/>
  <c r="H48" i="48" s="1"/>
  <c r="H45" i="64"/>
  <c r="H45" i="55"/>
  <c r="H48" i="55" s="1"/>
  <c r="H43" i="120"/>
  <c r="H45" i="120" s="1"/>
  <c r="H48" i="120" s="1"/>
  <c r="H45" i="14"/>
  <c r="H48" i="14" s="1"/>
  <c r="H45" i="15"/>
  <c r="H48" i="15" s="1"/>
  <c r="H45" i="7"/>
  <c r="H48" i="7" s="1"/>
  <c r="H43" i="67"/>
  <c r="H45" i="67" s="1"/>
  <c r="H48" i="67" s="1"/>
  <c r="H43" i="58"/>
  <c r="H43" i="63"/>
  <c r="H45" i="63" s="1"/>
  <c r="H45" i="65"/>
  <c r="H48" i="65" s="1"/>
  <c r="H45" i="59"/>
  <c r="H48" i="59" s="1"/>
  <c r="H45" i="52"/>
  <c r="H48" i="52" s="1"/>
  <c r="H46" i="64"/>
  <c r="H45" i="11"/>
  <c r="H45" i="121"/>
  <c r="H48" i="121" s="1"/>
  <c r="H45" i="54"/>
  <c r="H48" i="54" s="1"/>
  <c r="H43" i="4"/>
  <c r="H43" i="8"/>
  <c r="H43" i="56"/>
  <c r="H45" i="56" s="1"/>
  <c r="H41" i="66"/>
  <c r="H43" i="66" s="1"/>
  <c r="H41" i="13"/>
  <c r="H43" i="13" s="1"/>
  <c r="H42" i="62"/>
  <c r="H42" i="12"/>
  <c r="H46" i="12" s="1"/>
  <c r="H46" i="11"/>
  <c r="H41" i="60"/>
  <c r="H43" i="60" s="1"/>
  <c r="H41" i="57"/>
  <c r="H41" i="10"/>
  <c r="H43" i="10" s="1"/>
  <c r="H43" i="9"/>
  <c r="H45" i="9" s="1"/>
  <c r="H41" i="119"/>
  <c r="H43" i="119" s="1"/>
  <c r="H41" i="51"/>
  <c r="H43" i="51" s="1"/>
  <c r="H43" i="47"/>
  <c r="H45" i="47" s="1"/>
  <c r="H41" i="46"/>
  <c r="H10" i="5"/>
  <c r="H37" i="5" s="1"/>
  <c r="M6" i="129"/>
  <c r="M10" i="129"/>
  <c r="N14" i="129"/>
  <c r="N5" i="129"/>
  <c r="M12" i="129"/>
  <c r="N10" i="129"/>
  <c r="M4" i="129"/>
  <c r="N13" i="129"/>
  <c r="M7" i="129"/>
  <c r="M13" i="129"/>
  <c r="M14" i="129"/>
  <c r="M5" i="129"/>
  <c r="M8" i="129"/>
  <c r="H45" i="49" l="1"/>
  <c r="H43" i="6"/>
  <c r="H43" i="117"/>
  <c r="H45" i="118"/>
  <c r="H43" i="49"/>
  <c r="H43" i="3"/>
  <c r="H48" i="11"/>
  <c r="H48" i="53"/>
  <c r="H48" i="64"/>
  <c r="H45" i="119"/>
  <c r="H48" i="119" s="1"/>
  <c r="H45" i="60"/>
  <c r="H48" i="60" s="1"/>
  <c r="H45" i="13"/>
  <c r="H48" i="13" s="1"/>
  <c r="H45" i="12"/>
  <c r="H48" i="12" s="1"/>
  <c r="H46" i="62"/>
  <c r="H45" i="62"/>
  <c r="H48" i="63"/>
  <c r="H48" i="118"/>
  <c r="H48" i="9"/>
  <c r="H45" i="50"/>
  <c r="H45" i="51"/>
  <c r="H48" i="51" s="1"/>
  <c r="H48" i="56"/>
  <c r="H48" i="47"/>
  <c r="H45" i="8"/>
  <c r="H48" i="8" s="1"/>
  <c r="H45" i="45"/>
  <c r="H45" i="66"/>
  <c r="H48" i="66" s="1"/>
  <c r="H43" i="57"/>
  <c r="H45" i="57" s="1"/>
  <c r="H45" i="4"/>
  <c r="H45" i="58"/>
  <c r="H48" i="58" s="1"/>
  <c r="H45" i="10"/>
  <c r="H48" i="10" s="1"/>
  <c r="H39" i="5"/>
  <c r="H43" i="46"/>
  <c r="N7" i="129"/>
  <c r="N4" i="129"/>
  <c r="O10" i="129"/>
  <c r="F14" i="129"/>
  <c r="O14" i="129"/>
  <c r="O7" i="129"/>
  <c r="N8" i="129"/>
  <c r="N12" i="129"/>
  <c r="F9" i="129"/>
  <c r="O13" i="129"/>
  <c r="N6" i="129"/>
  <c r="O5" i="129"/>
  <c r="G14" i="129" l="1"/>
  <c r="H45" i="3"/>
  <c r="H45" i="117"/>
  <c r="H48" i="49"/>
  <c r="H48" i="4"/>
  <c r="H48" i="50"/>
  <c r="H48" i="45"/>
  <c r="H45" i="46"/>
  <c r="H48" i="46" s="1"/>
  <c r="H45" i="6"/>
  <c r="G9" i="129"/>
  <c r="H48" i="57"/>
  <c r="H48" i="62"/>
  <c r="H41" i="5"/>
  <c r="F7" i="129"/>
  <c r="F13" i="129"/>
  <c r="O6" i="129"/>
  <c r="O4" i="129"/>
  <c r="O12" i="129"/>
  <c r="F5" i="129"/>
  <c r="O8" i="129"/>
  <c r="F8" i="129"/>
  <c r="F10" i="129"/>
  <c r="G8" i="129" l="1"/>
  <c r="G5" i="129"/>
  <c r="G13" i="129"/>
  <c r="G7" i="129"/>
  <c r="H48" i="3"/>
  <c r="H48" i="6"/>
  <c r="H48" i="117"/>
  <c r="G10" i="129"/>
  <c r="H43" i="5"/>
  <c r="F6" i="129"/>
  <c r="F12" i="129"/>
  <c r="F4" i="129"/>
  <c r="G12" i="129" l="1"/>
  <c r="G4" i="129"/>
  <c r="G6" i="129"/>
  <c r="H45" i="5"/>
  <c r="H48"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tc={E3DDAF27-35B8-44CA-8AC4-12BF9C0D20AC}</author>
  </authors>
  <commentList>
    <comment ref="D21" authorId="0" shapeId="0" xr:uid="{E3DDAF27-35B8-44CA-8AC4-12BF9C0D20AC}">
      <text>
        <t>[Threaded comment]
Your version of Excel allows you to read this threaded comment; however, any edits to it will get removed if the file is opened in a newer version of Excel. Learn more: https://go.microsoft.com/fwlink/?linkid=870924
Comment:
    removed a typo</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tc={27041171-C367-414D-A52B-0F9B86A4A768}</author>
  </authors>
  <commentList>
    <comment ref="D21" authorId="0" shapeId="0" xr:uid="{27041171-C367-414D-A52B-0F9B86A4A768}">
      <text>
        <t>[Threaded comment]
Your version of Excel allows you to read this threaded comment; however, any edits to it will get removed if the file is opened in a newer version of Excel. Learn more: https://go.microsoft.com/fwlink/?linkid=870924
Comment:
    removed a typo</t>
      </text>
    </comment>
  </commentList>
</comments>
</file>

<file path=xl/sharedStrings.xml><?xml version="1.0" encoding="utf-8"?>
<sst xmlns="http://schemas.openxmlformats.org/spreadsheetml/2006/main" count="5193" uniqueCount="203">
  <si>
    <t>New Construction</t>
  </si>
  <si>
    <t>Single Family</t>
  </si>
  <si>
    <t>Gas Technology</t>
  </si>
  <si>
    <t>Electric tech</t>
  </si>
  <si>
    <t>Zone</t>
  </si>
  <si>
    <t>6, 4, 9, 10, 12</t>
  </si>
  <si>
    <t xml:space="preserve">Ducted Furnace </t>
  </si>
  <si>
    <t>no AC</t>
  </si>
  <si>
    <t>Ducted Split Heat Pump</t>
  </si>
  <si>
    <t>Split AC</t>
  </si>
  <si>
    <t>1990's</t>
  </si>
  <si>
    <t>3, 6</t>
  </si>
  <si>
    <t>4, 9, 10, 12</t>
  </si>
  <si>
    <t>4, 9</t>
  </si>
  <si>
    <t>10, 12</t>
  </si>
  <si>
    <t>Existing</t>
  </si>
  <si>
    <t>-</t>
  </si>
  <si>
    <t>Ducted Furnace</t>
  </si>
  <si>
    <t>No AC</t>
  </si>
  <si>
    <t>New Furnace</t>
  </si>
  <si>
    <t>AC</t>
  </si>
  <si>
    <t>Wall Furnace</t>
  </si>
  <si>
    <t>Window AC</t>
  </si>
  <si>
    <t>New Ducted Furnace, addition of ducts</t>
  </si>
  <si>
    <t>New Furnace, addition of ducts</t>
  </si>
  <si>
    <t>Non-ducted MSHP, Multi-head</t>
  </si>
  <si>
    <t>Low-Rise Multi-Family</t>
  </si>
  <si>
    <t>New Ducted mini-split heat pump</t>
  </si>
  <si>
    <t>Packaged Thermal Heat Pump</t>
  </si>
  <si>
    <t>Combined Hydronic</t>
  </si>
  <si>
    <t>New Wall Furnace</t>
  </si>
  <si>
    <t>Combined hydronic</t>
  </si>
  <si>
    <t>High-Rise Multi-Family</t>
  </si>
  <si>
    <t>Pre 1978</t>
  </si>
  <si>
    <t>Hydronic Heating only FCU, Central Gas Boiler</t>
  </si>
  <si>
    <t>In-unit 4-pipe fan coil units connected to central condensing gas boiler and existing chiller/cooling towers</t>
  </si>
  <si>
    <t>Hydronic radiators, central gas boiler</t>
  </si>
  <si>
    <t>Hydronic Heating only FCU, Central Condensing Gas Boiler</t>
  </si>
  <si>
    <t>Electric Resistance + ERV</t>
  </si>
  <si>
    <t>In-unit 4-pipe fan coil units connected to central natural gas boiler and chiller/cooling towers</t>
  </si>
  <si>
    <t>VRF</t>
  </si>
  <si>
    <t>Update with new combined gas boiler</t>
  </si>
  <si>
    <t>Keep existing system with updated condensing gas boiler and existing chiller/coolant towers</t>
  </si>
  <si>
    <t>Keep existing system, replace boiler with ASHP water heater, keep existing chiller/cooling tower</t>
  </si>
  <si>
    <t>Update with new condensing gas boiler</t>
  </si>
  <si>
    <t>Keep hydronic radiators, update central gas boiler with condensig gas boiler</t>
  </si>
  <si>
    <t>Keep existing system, replace boiler with new central AHP</t>
  </si>
  <si>
    <t>Abandon prior heating system and replace AC unit with PTHP for heating and cooling</t>
  </si>
  <si>
    <t>HVAC</t>
  </si>
  <si>
    <t>Gas Option</t>
  </si>
  <si>
    <t>Demolition</t>
  </si>
  <si>
    <t>Installation</t>
  </si>
  <si>
    <t>Air Conditioner</t>
  </si>
  <si>
    <t>Furnace</t>
  </si>
  <si>
    <t>Labor</t>
  </si>
  <si>
    <t>Remove existing furnace</t>
  </si>
  <si>
    <t>Zone 3</t>
  </si>
  <si>
    <t>Zone 4, 6, 9, 10, 12</t>
  </si>
  <si>
    <t>HR</t>
  </si>
  <si>
    <t>Disposal</t>
  </si>
  <si>
    <t>LS</t>
  </si>
  <si>
    <t>New Furnace, equipment price</t>
  </si>
  <si>
    <t>EA</t>
  </si>
  <si>
    <t>Ducted attic furnace 80 AFUE, 40 kBtu/h</t>
  </si>
  <si>
    <t>Miscellaneous supplies</t>
  </si>
  <si>
    <t>Split AC 14 SEER/12.2 EER, 2 tons</t>
  </si>
  <si>
    <t>New Air Conditioner, equipment price</t>
  </si>
  <si>
    <t>LF</t>
  </si>
  <si>
    <t>Concrete pad, precast</t>
  </si>
  <si>
    <t>Pre-1978</t>
  </si>
  <si>
    <t>Electric Option</t>
  </si>
  <si>
    <t>Subtotal</t>
  </si>
  <si>
    <t>Recommended Budget</t>
  </si>
  <si>
    <t>Heating included in split system heat pump</t>
  </si>
  <si>
    <t>Ducted mini-split heat pump, fan coil in-unit, 2-ton 21 SEER/13 EER, 11 HSPF</t>
  </si>
  <si>
    <t>Split AC 14 SEER/12.2 EER, 2.5 tons</t>
  </si>
  <si>
    <t>Split AC 14 SEER/12.2 EER, 3 tons</t>
  </si>
  <si>
    <t>Split AC 14 SEER/12.2 EER, 4 tons</t>
  </si>
  <si>
    <t>Ducted In-unit furnace 80 AFUE, 40 kBtu/h</t>
  </si>
  <si>
    <t>Ducted in-unit furnace 80 AFUE, 40 kBtu/h</t>
  </si>
  <si>
    <t>Split AC 14 SEER/12.2 EER, 1.5 tons</t>
  </si>
  <si>
    <t>Ducted mini-split heat pump, fan coil in-unit, 1.5-ton 21 SEER/13 EER, 11 HSPF</t>
  </si>
  <si>
    <t>Ducted in-unit furnace 80 AFUE, 60 kBtu/h</t>
  </si>
  <si>
    <t>Ducted mini-split heat pump, fan coil in-unit, 2.5-ton 21 SEER/13 EER, 11 HSPF</t>
  </si>
  <si>
    <t>Ducted split heat pump AHU in-unit, 2-ton 18 SEER/14 EER, 10 HSPF, two-speed</t>
  </si>
  <si>
    <t>Ducted split heat pump AHU in-unit, 3-ton 18 SEER/14 EER, 10 HSPF, two-speed</t>
  </si>
  <si>
    <t>Ducted split heat pump AHU in-unit, 4-ton 18 SEER/14 EER, 10 HSPF, two-speed</t>
  </si>
  <si>
    <t>Gravity wall furnace, 64-65 AFUE, 40 kBtu/h</t>
  </si>
  <si>
    <t>Window AC, 2 units, 11-11.2 CEER, 1.5-ton</t>
  </si>
  <si>
    <t>Packaged terminal heat pump, 2-ton 11 EER, 3.3 COP</t>
  </si>
  <si>
    <t>Window AC, 2 units, 11-11.2 CEER, 3-ton</t>
  </si>
  <si>
    <t>Window AC, 2 units, 11-11.2 CEER, 2-ton</t>
  </si>
  <si>
    <t>Packaged terminal heat pump, 3-ton 11 EER, 3.3 COP</t>
  </si>
  <si>
    <t>Window AC, 2 units, 11-11.2 CEER, 4-ton</t>
  </si>
  <si>
    <t>Packaged terminal heat pump, 4-ton 11 EER, 3.3 COP</t>
  </si>
  <si>
    <t>Ducted mini-split heat pump, fan coil in-unit, 2-ton 14 SEER/12.2 EER, 8.2 HSPF</t>
  </si>
  <si>
    <t>Ducted mini-split heat pump, fan coil in-unit, 2-ton 30 SEER/15 EER, 14 HSPF</t>
  </si>
  <si>
    <t>Packaged terminal heat pump, 2-ton 7.6 EER, 2.5 COP</t>
  </si>
  <si>
    <t xml:space="preserve">Zone </t>
  </si>
  <si>
    <t>Sacramento</t>
  </si>
  <si>
    <t>OH&amp;P</t>
  </si>
  <si>
    <t>Market</t>
  </si>
  <si>
    <t>cell 37 check</t>
  </si>
  <si>
    <t>Design and Engineering</t>
  </si>
  <si>
    <t>General Conditions and Overhead</t>
  </si>
  <si>
    <t>Contractor Profit/Market Factor</t>
  </si>
  <si>
    <t>Controls</t>
  </si>
  <si>
    <t>Ductwork modifications</t>
  </si>
  <si>
    <t>O1</t>
  </si>
  <si>
    <t>A3</t>
  </si>
  <si>
    <t xml:space="preserve">Design </t>
  </si>
  <si>
    <t>Thermostat &amp; wiring</t>
  </si>
  <si>
    <t>Not required</t>
  </si>
  <si>
    <t>A4</t>
  </si>
  <si>
    <t>Refrigerant piping and refrigerant</t>
  </si>
  <si>
    <t>None</t>
  </si>
  <si>
    <t>Not Required</t>
  </si>
  <si>
    <t>Included in heat pump</t>
  </si>
  <si>
    <t>Ductwork connections (excludes distributed ductwork)</t>
  </si>
  <si>
    <t>D20</t>
  </si>
  <si>
    <t>Remove existing wall furnace, patch &amp; repair</t>
  </si>
  <si>
    <t>Ductwork</t>
  </si>
  <si>
    <t>New ductwork throughout, including patch and repair</t>
  </si>
  <si>
    <t>Wall/Ceiling patch</t>
  </si>
  <si>
    <t>D15</t>
  </si>
  <si>
    <t>Heating and Air Conditioning</t>
  </si>
  <si>
    <t>Test &amp; Inspect</t>
  </si>
  <si>
    <t>Permit, testing and inspection</t>
  </si>
  <si>
    <t xml:space="preserve">Gas and Electrical Supply </t>
  </si>
  <si>
    <t>New electrical circuits to equipment</t>
  </si>
  <si>
    <t>Panel and main service modification</t>
  </si>
  <si>
    <t>Gas supply piping</t>
  </si>
  <si>
    <t>Included in installation</t>
  </si>
  <si>
    <t>h48</t>
  </si>
  <si>
    <t>LRMF NC Gas Z3</t>
  </si>
  <si>
    <t>LRMF NC Electric Z3 S</t>
  </si>
  <si>
    <t>LRMF NC Electric Z3 O1</t>
  </si>
  <si>
    <t>LRMF NC Electric Z3 O2</t>
  </si>
  <si>
    <t>LRMF NC Gas Z4</t>
  </si>
  <si>
    <t>LRMF NC Gas Z6</t>
  </si>
  <si>
    <t>LRMF NC Electric Z6</t>
  </si>
  <si>
    <t>Low Rise Multi-Family</t>
  </si>
  <si>
    <t>Hydronic AHU in-unit</t>
  </si>
  <si>
    <t>Packaged terminal heat pump, 2-ton 11 EER, 3.3 COP, through wall</t>
  </si>
  <si>
    <t>LRMF NC Electric Z6 O2</t>
  </si>
  <si>
    <t>LRMF NC Electric Z12 O2</t>
  </si>
  <si>
    <t>Ducted mini-split heat pump, fan coil in-unit, 1.5-ton 30 SEER/15 EER, 14 HSPF</t>
  </si>
  <si>
    <t>Ducted mini-split heat pump, fan coil in-unit, 2.5-ton 30 SEER/15 EER, 14 HSPF</t>
  </si>
  <si>
    <t>Description</t>
  </si>
  <si>
    <t>Building Type</t>
  </si>
  <si>
    <t>Fuel Option</t>
  </si>
  <si>
    <t>Climate Zone</t>
  </si>
  <si>
    <t>Space Heating Technologies</t>
  </si>
  <si>
    <t>Space Cooling Technologies</t>
  </si>
  <si>
    <t>H10</t>
  </si>
  <si>
    <t>H39</t>
  </si>
  <si>
    <t>H41</t>
  </si>
  <si>
    <t>H43</t>
  </si>
  <si>
    <t>H45</t>
  </si>
  <si>
    <t>H35</t>
  </si>
  <si>
    <t>Per Unit Budget</t>
  </si>
  <si>
    <t>LRMF NC Gas Z10</t>
  </si>
  <si>
    <t>LRMF NC Electric Z10</t>
  </si>
  <si>
    <t>Please note that climate zone identifiers (e.g. Z3, Z4, Z6, Z9, and Z12) are inherited from the original datasets representing California's climate zones. They are neglected and have no impacts on this Utah-specific cost estimate practice</t>
  </si>
  <si>
    <t>Please note that the AECOM ID in the summary spreadsheet can be used to locate detailed cost data in AECOM datasets ("Description" column in the Summary table or tab names)</t>
  </si>
  <si>
    <t/>
  </si>
  <si>
    <t>Ducted attic furnace</t>
  </si>
  <si>
    <t>Included with baseboard heater</t>
  </si>
  <si>
    <t>Ducted attic furnace 90 AFUE, 40 kBtu/h</t>
  </si>
  <si>
    <t>Ducted attic furnace 90 AFUE, 60 kBtu/h</t>
  </si>
  <si>
    <t>LRMF NC Elec Baseboard Z3</t>
  </si>
  <si>
    <t>LRMF NC Elec Baseboard Z6</t>
  </si>
  <si>
    <t>LRMF NC Elec Baseboard Z4</t>
  </si>
  <si>
    <t>LRMF NC Elec Baseboard Z10</t>
  </si>
  <si>
    <t>32 Electric baseboard heaters, 4 kW each</t>
  </si>
  <si>
    <t>36 Electric baseboard heaters, 4 kW each</t>
  </si>
  <si>
    <t>LRMF NC Gas Cond Z3</t>
  </si>
  <si>
    <t>LRMF NC Gas Cond Z6</t>
  </si>
  <si>
    <t>LRMF NC Gas Cond Z4</t>
  </si>
  <si>
    <t>LRMF NC Gas Cond Z9</t>
  </si>
  <si>
    <t>Low Rise Multi-Family: New Construction</t>
  </si>
  <si>
    <t>Gas Furnace - Condensing</t>
  </si>
  <si>
    <t>Gas Furnace - Condensing + A/C</t>
  </si>
  <si>
    <t>Electric Resistance Baseboard</t>
  </si>
  <si>
    <t>Electric Resistance Baseboard + A/C</t>
  </si>
  <si>
    <t>Ducted In-unit furnace 90 AFUE, 40 kBtu/h</t>
  </si>
  <si>
    <t>Ducted in-unit furnace 90 AFUE, 40 kBtu/h</t>
  </si>
  <si>
    <t>Ducted in-unit furnace 90 AFUE, 60 kBtu/h</t>
  </si>
  <si>
    <t>Ductless Heat Pump</t>
  </si>
  <si>
    <t>LRMF NC Electric Z6 DL</t>
  </si>
  <si>
    <t>LRMF NC Electric Z6 O2 DL</t>
  </si>
  <si>
    <t>LRMF NC Electric Z10 DL</t>
  </si>
  <si>
    <t>LRMF NC Electric Z12 O2 DL</t>
  </si>
  <si>
    <t>LRMF NC Electric Z3 O1 DL</t>
  </si>
  <si>
    <t>LRMF NC Electric Z3 S DL</t>
  </si>
  <si>
    <t>LRMF NC Electric Z3 O2 DL</t>
  </si>
  <si>
    <t>Ductless mini-split heat pump, wall-mounted interior unit, 2.5-ton 30 SEER/15 EER, 14 HSPF</t>
  </si>
  <si>
    <t>Ductless mini-split heat pump, wall-mounted interior unit, 2.5-ton 21 SEER/13 EER, 11 HSPF</t>
  </si>
  <si>
    <t>Ductless mini-split heat pump, wall-mounted interior unit, 1.5-ton 30 SEER/15 EER, 14 HSPF</t>
  </si>
  <si>
    <t>Ductless mini-split heat pump, wall-mounted interior unit, 1.5-ton 21 SEER/13 EER, 11 HSPF</t>
  </si>
  <si>
    <t>Ductless mini-split heat pump, wall-mounted interior unit, 2-ton 30 SEER/15 EER, 14 HSPF</t>
  </si>
  <si>
    <t>Ductless mini-split heat pump, wall-mounted interior unit, 2-ton 14 SEER/12.2 EER, 8.2 HSPF</t>
  </si>
  <si>
    <t>Ductless mini-split heat pump, wall-mounted interior unit, 2-ton 21 SEER/13 EER, 11 HSPF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</si>
</sst>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quot;Zone &quot;\ #"/>
    <numFmt numFmtId="166" formatCode="&quot;$&quot;#,##0.00;[Red]&quot;$&quot;#,##0.00"/>
  </numFmts>
  <fonts count="6" x14ac:knownFonts="1">
    <font>
      <sz val="11"/>
      <color theme="1"/>
      <name val="Calibri"/>
      <family val="2"/>
      <scheme val="minor"/>
    </font>
    <font>
      <i/>
      <sz val="11"/>
      <color theme="1"/>
      <name val="Calibri"/>
      <family val="2"/>
      <scheme val="minor"/>
    </font>
    <font>
      <i/>
      <sz val="11"/>
      <color indexed="8"/>
      <name val="Calibri"/>
      <family val="2"/>
      <scheme val="minor"/>
    </font>
    <font>
      <b/>
      <sz val="11"/>
      <color theme="1"/>
      <name val="Calibri"/>
      <family val="2"/>
      <scheme val="minor"/>
    </font>
    <font>
      <i/>
      <sz val="11"/>
      <color rgb="FF7F7F7F"/>
      <name val="Calibri"/>
      <family val="2"/>
      <scheme val="minor"/>
    </font>
    <font>
      <sz val="11"/>
      <name val="Calibri"/>
      <family val="2"/>
      <scheme val="minor"/>
    </font>
  </fonts>
  <fills count="7">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5" tint="0.79998168889431442"/>
        <bgColor indexed="64"/>
      </patternFill>
    </fill>
  </fills>
  <borders count="7">
    <border>
      <left/>
      <right/>
      <top/>
      <bottom/>
      <diagonal/>
    </border>
    <border>
      <left/>
      <right/>
      <top style="thin">
        <color indexed="64"/>
      </top>
      <bottom/>
      <diagonal/>
    </border>
    <border>
      <left/>
      <right/>
      <top style="thin">
        <color indexed="64"/>
      </top>
      <bottom style="double">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double">
        <color indexed="64"/>
      </bottom>
      <diagonal/>
    </border>
  </borders>
  <cellStyleXfs count="2">
    <xf numFmtId="0" fontId="0" fillId="0" borderId="0"/>
    <xf numFmtId="0" fontId="4" fillId="0" borderId="0" applyNumberFormat="0" applyFill="0" applyBorder="0" applyAlignment="0" applyProtection="0"/>
  </cellStyleXfs>
  <cellXfs count="91">
    <xf numFmtId="0" fontId="0" fillId="0" borderId="0" xfId="0"/>
    <xf numFmtId="0" fontId="0" fillId="0" borderId="0" xfId="0" applyAlignment="1">
      <alignment wrapText="1"/>
    </xf>
    <xf numFmtId="0" fontId="0" fillId="0" borderId="0" xfId="0" applyAlignment="1">
      <alignment vertical="top"/>
    </xf>
    <xf numFmtId="0" fontId="0" fillId="0" borderId="0" xfId="0" applyAlignment="1">
      <alignment vertical="top" wrapText="1"/>
    </xf>
    <xf numFmtId="49" fontId="0" fillId="0" borderId="0" xfId="0" applyNumberFormat="1" applyAlignment="1">
      <alignment vertical="top"/>
    </xf>
    <xf numFmtId="49" fontId="0" fillId="0" borderId="0" xfId="0" applyNumberFormat="1" applyAlignment="1">
      <alignment vertical="top" wrapText="1"/>
    </xf>
    <xf numFmtId="0" fontId="0" fillId="0" borderId="0" xfId="0" applyFill="1" applyBorder="1" applyAlignment="1">
      <alignment vertical="top"/>
    </xf>
    <xf numFmtId="0" fontId="0" fillId="0" borderId="0" xfId="0" applyFill="1" applyBorder="1" applyAlignment="1">
      <alignment vertical="top" wrapText="1"/>
    </xf>
    <xf numFmtId="3" fontId="0" fillId="0" borderId="0" xfId="0" applyNumberFormat="1"/>
    <xf numFmtId="4" fontId="0" fillId="0" borderId="0" xfId="0" applyNumberFormat="1"/>
    <xf numFmtId="164" fontId="0" fillId="0" borderId="0" xfId="0" applyNumberFormat="1"/>
    <xf numFmtId="0" fontId="0" fillId="0" borderId="1" xfId="0" applyBorder="1"/>
    <xf numFmtId="4" fontId="0" fillId="0" borderId="1" xfId="0" applyNumberFormat="1" applyBorder="1"/>
    <xf numFmtId="164" fontId="0" fillId="0" borderId="1" xfId="0" applyNumberFormat="1" applyBorder="1"/>
    <xf numFmtId="0" fontId="1" fillId="0" borderId="0" xfId="0" applyFont="1"/>
    <xf numFmtId="0" fontId="0" fillId="0" borderId="0" xfId="0" applyFont="1"/>
    <xf numFmtId="0" fontId="0" fillId="0" borderId="0" xfId="0" applyBorder="1"/>
    <xf numFmtId="4" fontId="0" fillId="0" borderId="0" xfId="0" applyNumberFormat="1" applyBorder="1"/>
    <xf numFmtId="164" fontId="0" fillId="0" borderId="0" xfId="0" applyNumberFormat="1" applyBorder="1"/>
    <xf numFmtId="9" fontId="0" fillId="0" borderId="0" xfId="0" applyNumberFormat="1"/>
    <xf numFmtId="0" fontId="1" fillId="2" borderId="0" xfId="0" applyFont="1" applyFill="1"/>
    <xf numFmtId="4" fontId="0" fillId="2" borderId="0" xfId="0" applyNumberFormat="1" applyFill="1"/>
    <xf numFmtId="0" fontId="1" fillId="0" borderId="0" xfId="0" applyFont="1" applyFill="1"/>
    <xf numFmtId="0" fontId="0" fillId="0" borderId="0" xfId="0" applyFill="1"/>
    <xf numFmtId="0" fontId="1" fillId="0" borderId="0" xfId="0" applyFont="1" applyFill="1" applyAlignment="1">
      <alignment wrapText="1"/>
    </xf>
    <xf numFmtId="0" fontId="0" fillId="0" borderId="0" xfId="0" applyFont="1" applyFill="1"/>
    <xf numFmtId="0" fontId="0" fillId="0" borderId="0" xfId="0" applyFill="1" applyAlignment="1">
      <alignment wrapText="1"/>
    </xf>
    <xf numFmtId="0" fontId="0" fillId="3" borderId="0" xfId="0" applyFill="1"/>
    <xf numFmtId="164" fontId="0" fillId="0" borderId="0" xfId="0" applyNumberFormat="1" applyFill="1"/>
    <xf numFmtId="4" fontId="0" fillId="0" borderId="0" xfId="0" applyNumberFormat="1" applyFill="1"/>
    <xf numFmtId="0" fontId="0" fillId="0" borderId="0" xfId="0" quotePrefix="1"/>
    <xf numFmtId="166" fontId="0" fillId="0" borderId="0" xfId="0" quotePrefix="1" applyNumberFormat="1"/>
    <xf numFmtId="165" fontId="0" fillId="0" borderId="0" xfId="0" quotePrefix="1" applyNumberFormat="1"/>
    <xf numFmtId="0" fontId="0" fillId="0" borderId="2" xfId="0" applyBorder="1"/>
    <xf numFmtId="164" fontId="0" fillId="0" borderId="2" xfId="0" applyNumberFormat="1" applyBorder="1"/>
    <xf numFmtId="4" fontId="0" fillId="0" borderId="2" xfId="0" applyNumberFormat="1" applyBorder="1"/>
    <xf numFmtId="3" fontId="1" fillId="0" borderId="0" xfId="0" applyNumberFormat="1" applyFont="1" applyAlignment="1">
      <alignment horizontal="right"/>
    </xf>
    <xf numFmtId="164" fontId="1" fillId="0" borderId="0" xfId="0" applyNumberFormat="1" applyFont="1" applyAlignment="1">
      <alignment horizontal="right"/>
    </xf>
    <xf numFmtId="3" fontId="2" fillId="0" borderId="0" xfId="0" applyNumberFormat="1" applyFont="1" applyAlignment="1">
      <alignment horizontal="right"/>
    </xf>
    <xf numFmtId="164" fontId="2" fillId="0" borderId="0" xfId="0" applyNumberFormat="1" applyFont="1" applyAlignment="1">
      <alignment horizontal="right"/>
    </xf>
    <xf numFmtId="0" fontId="0" fillId="0" borderId="0" xfId="0" applyAlignment="1"/>
    <xf numFmtId="0" fontId="0" fillId="0" borderId="0" xfId="0" applyAlignment="1">
      <alignment horizontal="center"/>
    </xf>
    <xf numFmtId="0" fontId="0" fillId="0" borderId="1" xfId="0" applyBorder="1" applyAlignment="1">
      <alignment horizontal="center"/>
    </xf>
    <xf numFmtId="0" fontId="0" fillId="0" borderId="0" xfId="0" applyBorder="1" applyAlignment="1">
      <alignment horizontal="center"/>
    </xf>
    <xf numFmtId="0" fontId="0" fillId="0" borderId="2" xfId="0" applyBorder="1" applyAlignment="1"/>
    <xf numFmtId="0" fontId="0" fillId="0" borderId="2" xfId="0" applyBorder="1" applyAlignment="1">
      <alignment horizontal="center"/>
    </xf>
    <xf numFmtId="0" fontId="3" fillId="0" borderId="0" xfId="0" applyFont="1"/>
    <xf numFmtId="10" fontId="0" fillId="0" borderId="0" xfId="0" applyNumberFormat="1"/>
    <xf numFmtId="164" fontId="2" fillId="0" borderId="0" xfId="0" applyNumberFormat="1" applyFont="1"/>
    <xf numFmtId="10" fontId="0" fillId="0" borderId="0" xfId="0" applyNumberFormat="1" applyAlignment="1"/>
    <xf numFmtId="0" fontId="0" fillId="4" borderId="0" xfId="0" applyFill="1"/>
    <xf numFmtId="9" fontId="0" fillId="4" borderId="0" xfId="0" applyNumberFormat="1" applyFill="1"/>
    <xf numFmtId="10" fontId="0" fillId="4" borderId="0" xfId="0" applyNumberFormat="1" applyFill="1"/>
    <xf numFmtId="0" fontId="5" fillId="0" borderId="0" xfId="0" applyFont="1"/>
    <xf numFmtId="0" fontId="3" fillId="0" borderId="0" xfId="0" applyFont="1" applyAlignment="1">
      <alignment horizontal="right"/>
    </xf>
    <xf numFmtId="0" fontId="4" fillId="0" borderId="0" xfId="1"/>
    <xf numFmtId="4" fontId="5" fillId="0" borderId="0" xfId="0" applyNumberFormat="1" applyFont="1"/>
    <xf numFmtId="165" fontId="0" fillId="0" borderId="0" xfId="0" applyNumberFormat="1" applyAlignment="1">
      <alignment horizontal="left"/>
    </xf>
    <xf numFmtId="3" fontId="0" fillId="0" borderId="0" xfId="0" quotePrefix="1" applyNumberFormat="1"/>
    <xf numFmtId="0" fontId="0" fillId="0" borderId="3" xfId="0" applyBorder="1"/>
    <xf numFmtId="0" fontId="0" fillId="0" borderId="4" xfId="0" applyBorder="1"/>
    <xf numFmtId="164" fontId="0" fillId="0" borderId="5" xfId="0" applyNumberFormat="1" applyBorder="1"/>
    <xf numFmtId="0" fontId="0" fillId="0" borderId="5" xfId="0" applyBorder="1"/>
    <xf numFmtId="164" fontId="2" fillId="0" borderId="5" xfId="0" applyNumberFormat="1" applyFont="1" applyBorder="1" applyAlignment="1">
      <alignment horizontal="right"/>
    </xf>
    <xf numFmtId="4" fontId="0" fillId="5" borderId="0" xfId="0" applyNumberFormat="1" applyFill="1"/>
    <xf numFmtId="4" fontId="0" fillId="6" borderId="0" xfId="0" applyNumberFormat="1" applyFill="1"/>
    <xf numFmtId="164" fontId="1" fillId="0" borderId="5" xfId="0" applyNumberFormat="1" applyFont="1" applyBorder="1" applyAlignment="1">
      <alignment horizontal="right"/>
    </xf>
    <xf numFmtId="164" fontId="0" fillId="5" borderId="5" xfId="0" applyNumberFormat="1" applyFill="1" applyBorder="1"/>
    <xf numFmtId="164" fontId="0" fillId="6" borderId="5" xfId="0" applyNumberFormat="1" applyFill="1" applyBorder="1"/>
    <xf numFmtId="3" fontId="2" fillId="0" borderId="5" xfId="0" applyNumberFormat="1" applyFont="1" applyBorder="1" applyAlignment="1">
      <alignment horizontal="right"/>
    </xf>
    <xf numFmtId="164" fontId="0" fillId="0" borderId="4" xfId="0" applyNumberFormat="1" applyBorder="1"/>
    <xf numFmtId="10" fontId="0" fillId="0" borderId="5" xfId="0" applyNumberFormat="1" applyBorder="1"/>
    <xf numFmtId="10" fontId="0" fillId="5" borderId="0" xfId="0" applyNumberFormat="1" applyFill="1"/>
    <xf numFmtId="9" fontId="0" fillId="0" borderId="5" xfId="0" applyNumberFormat="1" applyBorder="1"/>
    <xf numFmtId="0" fontId="0" fillId="0" borderId="6" xfId="0" applyBorder="1"/>
    <xf numFmtId="164" fontId="0" fillId="0" borderId="6" xfId="0" applyNumberFormat="1" applyBorder="1"/>
    <xf numFmtId="0" fontId="0" fillId="5" borderId="0" xfId="0" applyFill="1"/>
    <xf numFmtId="3" fontId="0" fillId="5" borderId="0" xfId="0" applyNumberFormat="1" applyFill="1"/>
    <xf numFmtId="3" fontId="0" fillId="6" borderId="0" xfId="0" applyNumberFormat="1" applyFill="1"/>
    <xf numFmtId="1" fontId="0" fillId="5" borderId="0" xfId="0" applyNumberFormat="1" applyFill="1"/>
    <xf numFmtId="1" fontId="0" fillId="6" borderId="0" xfId="0" applyNumberFormat="1" applyFill="1"/>
    <xf numFmtId="0" fontId="5" fillId="4" borderId="0" xfId="0" applyFont="1" applyFill="1"/>
    <xf numFmtId="0" fontId="0" fillId="4" borderId="0" xfId="0" quotePrefix="1" applyFill="1"/>
    <xf numFmtId="165" fontId="0" fillId="4" borderId="0" xfId="0" quotePrefix="1" applyNumberFormat="1" applyFill="1"/>
    <xf numFmtId="166" fontId="0" fillId="4" borderId="0" xfId="0" quotePrefix="1" applyNumberFormat="1" applyFill="1"/>
    <xf numFmtId="4" fontId="0" fillId="4" borderId="0" xfId="0" applyNumberFormat="1" applyFill="1"/>
    <xf numFmtId="0" fontId="1" fillId="0" borderId="0" xfId="0" applyFont="1" applyAlignment="1">
      <alignment horizontal="center" vertical="center" wrapText="1"/>
    </xf>
    <xf numFmtId="0" fontId="1" fillId="0" borderId="5" xfId="0" applyFont="1" applyBorder="1" applyAlignment="1">
      <alignment horizontal="center" vertical="center" wrapText="1"/>
    </xf>
    <xf numFmtId="165" fontId="0" fillId="0" borderId="0" xfId="0" applyNumberFormat="1" applyAlignment="1">
      <alignment horizontal="left"/>
    </xf>
    <xf numFmtId="0" fontId="1" fillId="0" borderId="3" xfId="0" applyFont="1" applyBorder="1" applyAlignment="1">
      <alignment horizontal="center" vertical="center" wrapText="1"/>
    </xf>
    <xf numFmtId="0" fontId="0" fillId="0" borderId="0" xfId="0" applyAlignment="1">
      <alignment horizontal="center" vertical="top" wrapText="1"/>
    </xf>
  </cellXfs>
  <cellStyles count="2">
    <cellStyle name="Explanatory Text" xfId="1" builtinId="5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styles" Target="styles.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theme" Target="theme/theme1.xml"/><Relationship Id="rId99" Type="http://schemas.openxmlformats.org/officeDocument/2006/relationships/customXml" Target="../customXml/item1.xml"/><Relationship Id="rId10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microsoft.com/office/2017/10/relationships/person" Target="persons/person.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customXml" Target="../customXml/item2.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calcChain" Target="calcChain.xml"/><Relationship Id="rId3" Type="http://schemas.openxmlformats.org/officeDocument/2006/relationships/worksheet" Target="worksheets/sheet3.xml"/></Relationships>
</file>

<file path=xl/persons/person.xml><?xml version="1.0" encoding="utf-8"?>
<personList xmlns="http://schemas.microsoft.com/office/spreadsheetml/2018/threadedcomments" xmlns:x="http://schemas.openxmlformats.org/spreadsheetml/2006/main">
  <person displayName="Jun Zhang" id="{1F2EA20E-997B-461F-AA96-68C5E4EB1895}" userId="S::jun.zhang@ethree.com::92146596-bbc2-41ea-ad6e-e3a54527515b"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21" dT="2021-04-22T17:45:21.65" personId="{1F2EA20E-997B-461F-AA96-68C5E4EB1895}" id="{E3DDAF27-35B8-44CA-8AC4-12BF9C0D20AC}">
    <text>removed a typo</text>
  </threadedComment>
</ThreadedComments>
</file>

<file path=xl/threadedComments/threadedComment2.xml><?xml version="1.0" encoding="utf-8"?>
<ThreadedComments xmlns="http://schemas.microsoft.com/office/spreadsheetml/2018/threadedcomments" xmlns:x="http://schemas.openxmlformats.org/spreadsheetml/2006/main">
  <threadedComment ref="D21" dT="2021-04-22T17:45:21.65" personId="{1F2EA20E-997B-461F-AA96-68C5E4EB1895}" id="{27041171-C367-414D-A52B-0F9B86A4A768}">
    <text>removed a typo</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2.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0.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R34"/>
  <sheetViews>
    <sheetView showGridLines="0" tabSelected="1" topLeftCell="A3" zoomScale="90" zoomScaleNormal="90" workbookViewId="0">
      <selection activeCell="D3" sqref="D1:D1048576"/>
    </sheetView>
  </sheetViews>
  <sheetFormatPr defaultRowHeight="14.4" x14ac:dyDescent="0.3"/>
  <cols>
    <col min="1" max="1" width="27" bestFit="1" customWidth="1"/>
    <col min="2" max="2" width="26.6640625" customWidth="1"/>
    <col min="3" max="3" width="38.33203125" bestFit="1" customWidth="1"/>
    <col min="4" max="4" width="27.109375" customWidth="1"/>
    <col min="5" max="5" width="8.33203125" bestFit="1" customWidth="1"/>
    <col min="6" max="6" width="21.5546875" bestFit="1" customWidth="1"/>
    <col min="7" max="7" width="15.109375" bestFit="1" customWidth="1"/>
    <col min="8" max="8" width="40.109375" bestFit="1" customWidth="1"/>
    <col min="9" max="9" width="72" bestFit="1" customWidth="1"/>
    <col min="10" max="11" width="11" bestFit="1" customWidth="1"/>
    <col min="12" max="12" width="31.5546875" bestFit="1" customWidth="1"/>
    <col min="13" max="13" width="22.109375" bestFit="1" customWidth="1"/>
    <col min="14" max="14" width="28.109375" bestFit="1" customWidth="1"/>
  </cols>
  <sheetData>
    <row r="1" spans="1:18" s="55" customFormat="1" x14ac:dyDescent="0.3">
      <c r="C1" s="55" t="s">
        <v>108</v>
      </c>
      <c r="D1" s="55" t="s">
        <v>109</v>
      </c>
      <c r="E1" s="55" t="s">
        <v>113</v>
      </c>
      <c r="F1" s="55" t="s">
        <v>133</v>
      </c>
      <c r="H1" s="55" t="s">
        <v>124</v>
      </c>
      <c r="I1" s="55" t="s">
        <v>119</v>
      </c>
      <c r="J1" s="55" t="s">
        <v>154</v>
      </c>
      <c r="K1" s="55" t="s">
        <v>159</v>
      </c>
      <c r="L1" s="55" t="s">
        <v>155</v>
      </c>
      <c r="M1" s="55" t="s">
        <v>156</v>
      </c>
      <c r="N1" s="55" t="s">
        <v>157</v>
      </c>
      <c r="O1" s="55" t="s">
        <v>158</v>
      </c>
    </row>
    <row r="2" spans="1:18" s="55" customFormat="1" x14ac:dyDescent="0.3"/>
    <row r="3" spans="1:18" s="46" customFormat="1" x14ac:dyDescent="0.3">
      <c r="A3" s="46" t="s">
        <v>125</v>
      </c>
      <c r="B3" s="46" t="s">
        <v>148</v>
      </c>
      <c r="C3" s="46" t="s">
        <v>149</v>
      </c>
      <c r="D3" s="46" t="s">
        <v>150</v>
      </c>
      <c r="E3" s="46" t="s">
        <v>151</v>
      </c>
      <c r="F3" s="46" t="s">
        <v>72</v>
      </c>
      <c r="G3" s="54" t="s">
        <v>160</v>
      </c>
      <c r="H3" s="46" t="s">
        <v>152</v>
      </c>
      <c r="I3" s="46" t="s">
        <v>153</v>
      </c>
      <c r="J3" s="46" t="s">
        <v>50</v>
      </c>
      <c r="K3" s="46" t="s">
        <v>51</v>
      </c>
      <c r="L3" s="46" t="s">
        <v>104</v>
      </c>
      <c r="M3" s="46" t="s">
        <v>103</v>
      </c>
      <c r="N3" s="46" t="s">
        <v>127</v>
      </c>
      <c r="O3" s="46" t="s">
        <v>105</v>
      </c>
    </row>
    <row r="4" spans="1:18" x14ac:dyDescent="0.3">
      <c r="B4" t="s">
        <v>134</v>
      </c>
      <c r="C4" s="30" t="str">
        <f t="shared" ref="C4:F12" ca="1" si="0">INDIRECT("'"&amp;$B4&amp;"'!"&amp;C$1)</f>
        <v>Low Rise Multi-Family: New Construction</v>
      </c>
      <c r="D4" s="30" t="str">
        <f t="shared" ca="1" si="0"/>
        <v>Gas Option</v>
      </c>
      <c r="E4" s="32">
        <f t="shared" ca="1" si="0"/>
        <v>3</v>
      </c>
      <c r="F4" s="31">
        <f t="shared" ca="1" si="0"/>
        <v>31475.315935359999</v>
      </c>
      <c r="G4" s="31">
        <f t="shared" ref="G4:G12" ca="1" si="1">F4/8</f>
        <v>3934.4144919199998</v>
      </c>
      <c r="H4" s="30" t="str">
        <f t="shared" ref="H4:O12" ca="1" si="2">INDIRECT("'"&amp;$B4&amp;"'!"&amp;H$1)</f>
        <v>Ducted In-unit furnace 80 AFUE, 40 kBtu/h</v>
      </c>
      <c r="I4" s="30" t="str">
        <f t="shared" ca="1" si="2"/>
        <v>No AC</v>
      </c>
      <c r="J4" s="30">
        <f t="shared" ca="1" si="2"/>
        <v>0</v>
      </c>
      <c r="K4" s="30">
        <f t="shared" ca="1" si="2"/>
        <v>27422.315935359999</v>
      </c>
      <c r="L4" s="30">
        <f t="shared" ca="1" si="2"/>
        <v>2468</v>
      </c>
      <c r="M4" s="30">
        <f t="shared" ca="1" si="2"/>
        <v>1196</v>
      </c>
      <c r="N4" s="30">
        <f t="shared" ca="1" si="2"/>
        <v>389</v>
      </c>
      <c r="O4" s="30">
        <f t="shared" ca="1" si="2"/>
        <v>0</v>
      </c>
      <c r="P4" s="30"/>
      <c r="Q4" s="58"/>
      <c r="R4" s="58"/>
    </row>
    <row r="5" spans="1:18" x14ac:dyDescent="0.3">
      <c r="B5" t="s">
        <v>139</v>
      </c>
      <c r="C5" s="30" t="str">
        <f t="shared" ca="1" si="0"/>
        <v>Low Rise Multi-Family: New Construction</v>
      </c>
      <c r="D5" s="30" t="str">
        <f t="shared" ca="1" si="0"/>
        <v>Gas Option</v>
      </c>
      <c r="E5" s="32">
        <f t="shared" ca="1" si="0"/>
        <v>6</v>
      </c>
      <c r="F5" s="31">
        <f t="shared" ca="1" si="0"/>
        <v>71705.473903040009</v>
      </c>
      <c r="G5" s="31">
        <f t="shared" ca="1" si="1"/>
        <v>8963.1842378800011</v>
      </c>
      <c r="H5" s="30" t="str">
        <f t="shared" ca="1" si="2"/>
        <v>Ducted in-unit furnace 80 AFUE, 40 kBtu/h</v>
      </c>
      <c r="I5" s="30" t="str">
        <f t="shared" ca="1" si="2"/>
        <v>Split AC 14 SEER/12.2 EER, 1.5 tons</v>
      </c>
      <c r="J5" s="30">
        <f t="shared" ca="1" si="2"/>
        <v>0</v>
      </c>
      <c r="K5" s="30">
        <f t="shared" ca="1" si="2"/>
        <v>62473.473903040009</v>
      </c>
      <c r="L5" s="30">
        <f t="shared" ca="1" si="2"/>
        <v>5623</v>
      </c>
      <c r="M5" s="30">
        <f t="shared" ca="1" si="2"/>
        <v>2724</v>
      </c>
      <c r="N5" s="30">
        <f t="shared" ca="1" si="2"/>
        <v>885</v>
      </c>
      <c r="O5" s="30">
        <f t="shared" ca="1" si="2"/>
        <v>0</v>
      </c>
      <c r="P5" s="30"/>
      <c r="Q5" s="58"/>
      <c r="R5" s="58"/>
    </row>
    <row r="6" spans="1:18" x14ac:dyDescent="0.3">
      <c r="B6" t="s">
        <v>138</v>
      </c>
      <c r="C6" s="30" t="str">
        <f t="shared" ca="1" si="0"/>
        <v>Low Rise Multi-Family: New Construction</v>
      </c>
      <c r="D6" s="30" t="str">
        <f t="shared" ca="1" si="0"/>
        <v>Gas Option</v>
      </c>
      <c r="E6" s="32">
        <f t="shared" ca="1" si="0"/>
        <v>4</v>
      </c>
      <c r="F6" s="31">
        <f t="shared" ca="1" si="0"/>
        <v>79051.473903040009</v>
      </c>
      <c r="G6" s="31">
        <f t="shared" ca="1" si="1"/>
        <v>9881.4342378800011</v>
      </c>
      <c r="H6" s="30" t="str">
        <f t="shared" ca="1" si="2"/>
        <v>Ducted In-unit furnace 80 AFUE, 40 kBtu/h</v>
      </c>
      <c r="I6" s="30" t="str">
        <f t="shared" ca="1" si="2"/>
        <v>Split AC 14 SEER/12.2 EER, 2 tons</v>
      </c>
      <c r="J6" s="30">
        <f t="shared" ca="1" si="2"/>
        <v>0</v>
      </c>
      <c r="K6" s="30">
        <f t="shared" ca="1" si="2"/>
        <v>68873.473903040009</v>
      </c>
      <c r="L6" s="30">
        <f t="shared" ca="1" si="2"/>
        <v>6199</v>
      </c>
      <c r="M6" s="30">
        <f t="shared" ca="1" si="2"/>
        <v>3003</v>
      </c>
      <c r="N6" s="30">
        <f t="shared" ca="1" si="2"/>
        <v>976</v>
      </c>
      <c r="O6" s="30">
        <f t="shared" ca="1" si="2"/>
        <v>0</v>
      </c>
      <c r="P6" s="30"/>
      <c r="Q6" s="58"/>
      <c r="R6" s="58"/>
    </row>
    <row r="7" spans="1:18" x14ac:dyDescent="0.3">
      <c r="B7" t="s">
        <v>161</v>
      </c>
      <c r="C7" s="30" t="str">
        <f t="shared" ca="1" si="0"/>
        <v>Low Rise Multi-Family: New Construction</v>
      </c>
      <c r="D7" s="30" t="str">
        <f t="shared" ca="1" si="0"/>
        <v>Gas Option</v>
      </c>
      <c r="E7" s="32">
        <f t="shared" ca="1" si="0"/>
        <v>10</v>
      </c>
      <c r="F7" s="31">
        <f t="shared" ca="1" si="0"/>
        <v>83642.473903040009</v>
      </c>
      <c r="G7" s="31">
        <f t="shared" ca="1" si="1"/>
        <v>10455.309237880001</v>
      </c>
      <c r="H7" s="30" t="str">
        <f t="shared" ca="1" si="2"/>
        <v>Ducted in-unit furnace 80 AFUE, 60 kBtu/h</v>
      </c>
      <c r="I7" s="30" t="str">
        <f t="shared" ca="1" si="2"/>
        <v>Split AC 14 SEER/12.2 EER, 2.5 tons</v>
      </c>
      <c r="J7" s="30">
        <f t="shared" ca="1" si="2"/>
        <v>0</v>
      </c>
      <c r="K7" s="30">
        <f t="shared" ca="1" si="2"/>
        <v>72873.473903040009</v>
      </c>
      <c r="L7" s="30">
        <f t="shared" ca="1" si="2"/>
        <v>6559</v>
      </c>
      <c r="M7" s="30">
        <f t="shared" ca="1" si="2"/>
        <v>3177</v>
      </c>
      <c r="N7" s="30">
        <f t="shared" ca="1" si="2"/>
        <v>1033</v>
      </c>
      <c r="O7" s="30">
        <f t="shared" ca="1" si="2"/>
        <v>0</v>
      </c>
      <c r="P7" s="30"/>
      <c r="Q7" s="58"/>
      <c r="R7" s="58"/>
    </row>
    <row r="8" spans="1:18" x14ac:dyDescent="0.3">
      <c r="B8" t="s">
        <v>140</v>
      </c>
      <c r="C8" s="30" t="str">
        <f t="shared" ca="1" si="0"/>
        <v>Low Rise Multi-Family: New Construction</v>
      </c>
      <c r="D8" s="30" t="str">
        <f t="shared" ca="1" si="0"/>
        <v>Electric Option</v>
      </c>
      <c r="E8" s="32">
        <f t="shared" ca="1" si="0"/>
        <v>6</v>
      </c>
      <c r="F8" s="31">
        <f t="shared" ca="1" si="0"/>
        <v>63261.736951520004</v>
      </c>
      <c r="G8" s="31">
        <f t="shared" ca="1" si="1"/>
        <v>7907.7171189400005</v>
      </c>
      <c r="H8" s="30" t="str">
        <f t="shared" ca="1" si="2"/>
        <v>Heating included in split system heat pump</v>
      </c>
      <c r="I8" s="30" t="str">
        <f t="shared" ca="1" si="2"/>
        <v>Ducted mini-split heat pump, fan coil in-unit, 1.5-ton 21 SEER/13 EER, 11 HSPF</v>
      </c>
      <c r="J8" s="30">
        <f t="shared" ca="1" si="2"/>
        <v>0</v>
      </c>
      <c r="K8" s="30">
        <f t="shared" ca="1" si="2"/>
        <v>55116.736951520004</v>
      </c>
      <c r="L8" s="30">
        <f t="shared" ca="1" si="2"/>
        <v>4961</v>
      </c>
      <c r="M8" s="30">
        <f t="shared" ca="1" si="2"/>
        <v>2403</v>
      </c>
      <c r="N8" s="30">
        <f t="shared" ca="1" si="2"/>
        <v>781</v>
      </c>
      <c r="O8" s="30">
        <f t="shared" ca="1" si="2"/>
        <v>0</v>
      </c>
      <c r="P8" s="30"/>
      <c r="Q8" s="58"/>
      <c r="R8" s="58"/>
    </row>
    <row r="9" spans="1:18" x14ac:dyDescent="0.3">
      <c r="B9" s="53" t="s">
        <v>144</v>
      </c>
      <c r="C9" s="30" t="str">
        <f t="shared" ca="1" si="0"/>
        <v>Low Rise Multi-Family: New Construction</v>
      </c>
      <c r="D9" s="30" t="str">
        <f t="shared" ca="1" si="0"/>
        <v>Electric Option</v>
      </c>
      <c r="E9" s="32">
        <f t="shared" ca="1" si="0"/>
        <v>6</v>
      </c>
      <c r="F9" s="31">
        <f t="shared" ca="1" si="0"/>
        <v>77571.403618186654</v>
      </c>
      <c r="G9" s="31">
        <f t="shared" ca="1" si="1"/>
        <v>9696.4254522733318</v>
      </c>
      <c r="H9" s="30" t="str">
        <f t="shared" ca="1" si="2"/>
        <v>Heating included in split system heat pump</v>
      </c>
      <c r="I9" s="30" t="str">
        <f t="shared" ca="1" si="2"/>
        <v>Ducted mini-split heat pump, fan coil in-unit, 1.5-ton 30 SEER/15 EER, 14 HSPF</v>
      </c>
      <c r="J9" s="30">
        <f t="shared" ca="1" si="2"/>
        <v>0</v>
      </c>
      <c r="K9" s="30">
        <f t="shared" ca="1" si="2"/>
        <v>67583.403618186654</v>
      </c>
      <c r="L9" s="30">
        <f t="shared" ca="1" si="2"/>
        <v>6083</v>
      </c>
      <c r="M9" s="30">
        <f t="shared" ca="1" si="2"/>
        <v>2947</v>
      </c>
      <c r="N9" s="30">
        <f t="shared" ca="1" si="2"/>
        <v>958</v>
      </c>
      <c r="O9" s="30">
        <f t="shared" ca="1" si="2"/>
        <v>0</v>
      </c>
      <c r="P9" s="30"/>
      <c r="Q9" s="58"/>
      <c r="R9" s="58"/>
    </row>
    <row r="10" spans="1:18" x14ac:dyDescent="0.3">
      <c r="B10" s="53" t="s">
        <v>162</v>
      </c>
      <c r="C10" s="30" t="str">
        <f t="shared" ca="1" si="0"/>
        <v>Low Rise Multi-Family: New Construction</v>
      </c>
      <c r="D10" s="30" t="str">
        <f t="shared" ca="1" si="0"/>
        <v>Electric Option</v>
      </c>
      <c r="E10" s="32">
        <f t="shared" ca="1" si="0"/>
        <v>10</v>
      </c>
      <c r="F10" s="31">
        <f t="shared" ca="1" si="0"/>
        <v>70607.736951519997</v>
      </c>
      <c r="G10" s="31">
        <f t="shared" ca="1" si="1"/>
        <v>8825.9671189399996</v>
      </c>
      <c r="H10" s="30" t="str">
        <f t="shared" ca="1" si="2"/>
        <v>Heating included in split system heat pump</v>
      </c>
      <c r="I10" s="30" t="str">
        <f t="shared" ca="1" si="2"/>
        <v>Ducted mini-split heat pump, fan coil in-unit, 2.5-ton 21 SEER/13 EER, 11 HSPF</v>
      </c>
      <c r="J10" s="30">
        <f t="shared" ca="1" si="2"/>
        <v>0</v>
      </c>
      <c r="K10" s="30">
        <f t="shared" ca="1" si="2"/>
        <v>61516.736951520004</v>
      </c>
      <c r="L10" s="30">
        <f t="shared" ca="1" si="2"/>
        <v>5537</v>
      </c>
      <c r="M10" s="30">
        <f t="shared" ca="1" si="2"/>
        <v>2682</v>
      </c>
      <c r="N10" s="30">
        <f t="shared" ca="1" si="2"/>
        <v>872</v>
      </c>
      <c r="O10" s="30">
        <f t="shared" ca="1" si="2"/>
        <v>0</v>
      </c>
      <c r="P10" s="30"/>
      <c r="Q10" s="58"/>
      <c r="R10" s="58"/>
    </row>
    <row r="11" spans="1:18" x14ac:dyDescent="0.3">
      <c r="B11" s="53" t="s">
        <v>145</v>
      </c>
      <c r="C11" s="30" t="str">
        <f t="shared" ca="1" si="0"/>
        <v>Low Rise Multi-Family: New Construction</v>
      </c>
      <c r="D11" s="30" t="str">
        <f t="shared" ca="1" si="0"/>
        <v>Electric Option</v>
      </c>
      <c r="E11" s="32">
        <f t="shared" ca="1" si="0"/>
        <v>12</v>
      </c>
      <c r="F11" s="31">
        <f t="shared" ca="1" si="0"/>
        <v>87518.070284853326</v>
      </c>
      <c r="G11" s="31">
        <f t="shared" ca="1" si="1"/>
        <v>10939.758785606666</v>
      </c>
      <c r="H11" s="30" t="str">
        <f t="shared" ca="1" si="2"/>
        <v>Heating included in split system heat pump</v>
      </c>
      <c r="I11" s="30" t="str">
        <f t="shared" ca="1" si="2"/>
        <v>Ducted mini-split heat pump, fan coil in-unit, 2.5-ton 30 SEER/15 EER, 14 HSPF</v>
      </c>
      <c r="J11" s="30">
        <f t="shared" ca="1" si="2"/>
        <v>0</v>
      </c>
      <c r="K11" s="30">
        <f t="shared" ca="1" si="2"/>
        <v>76250.070284853326</v>
      </c>
      <c r="L11" s="30">
        <f t="shared" ca="1" si="2"/>
        <v>6863</v>
      </c>
      <c r="M11" s="30">
        <f t="shared" ca="1" si="2"/>
        <v>3325</v>
      </c>
      <c r="N11" s="30">
        <f t="shared" ca="1" si="2"/>
        <v>1080</v>
      </c>
      <c r="O11" s="30">
        <f t="shared" ca="1" si="2"/>
        <v>0</v>
      </c>
      <c r="P11" s="30"/>
      <c r="Q11" s="58"/>
      <c r="R11" s="58"/>
    </row>
    <row r="12" spans="1:18" x14ac:dyDescent="0.3">
      <c r="B12" s="53" t="s">
        <v>136</v>
      </c>
      <c r="C12" s="30" t="str">
        <f t="shared" ca="1" si="0"/>
        <v>Low Rise Multi-Family: New Construction</v>
      </c>
      <c r="D12" s="30" t="str">
        <f t="shared" ca="1" si="0"/>
        <v>Electric Option</v>
      </c>
      <c r="E12" s="32">
        <f t="shared" ca="1" si="0"/>
        <v>3</v>
      </c>
      <c r="F12" s="31">
        <f t="shared" ca="1" si="0"/>
        <v>64179.736951520004</v>
      </c>
      <c r="G12" s="31">
        <f t="shared" ca="1" si="1"/>
        <v>8022.4671189400005</v>
      </c>
      <c r="H12" s="30" t="str">
        <f t="shared" ca="1" si="2"/>
        <v>Heating included in split system heat pump</v>
      </c>
      <c r="I12" s="30" t="str">
        <f t="shared" ca="1" si="2"/>
        <v>Ducted mini-split heat pump, fan coil in-unit, 2-ton 14 SEER/12.2 EER, 8.2 HSPF</v>
      </c>
      <c r="J12" s="30">
        <f t="shared" ca="1" si="2"/>
        <v>0</v>
      </c>
      <c r="K12" s="30">
        <f t="shared" ca="1" si="2"/>
        <v>55916.736951520004</v>
      </c>
      <c r="L12" s="30">
        <f t="shared" ca="1" si="2"/>
        <v>5033</v>
      </c>
      <c r="M12" s="30">
        <f t="shared" ca="1" si="2"/>
        <v>2438</v>
      </c>
      <c r="N12" s="30">
        <f t="shared" ca="1" si="2"/>
        <v>792</v>
      </c>
      <c r="O12" s="30">
        <f t="shared" ca="1" si="2"/>
        <v>0</v>
      </c>
      <c r="P12" s="30"/>
      <c r="Q12" s="58"/>
      <c r="R12" s="58"/>
    </row>
    <row r="13" spans="1:18" x14ac:dyDescent="0.3">
      <c r="B13" s="53" t="s">
        <v>135</v>
      </c>
      <c r="C13" s="30" t="str">
        <f t="shared" ref="C13:C14" ca="1" si="3">INDIRECT("'"&amp;$B13&amp;"'!"&amp;C$1)</f>
        <v>Low Rise Multi-Family: New Construction</v>
      </c>
      <c r="D13" s="30" t="str">
        <f t="shared" ref="D13:O14" ca="1" si="4">INDIRECT("'"&amp;$B13&amp;"'!"&amp;D$1)</f>
        <v>Electric Option</v>
      </c>
      <c r="E13" s="32">
        <f t="shared" ca="1" si="4"/>
        <v>3</v>
      </c>
      <c r="F13" s="31">
        <f t="shared" ca="1" si="4"/>
        <v>66934.736951519997</v>
      </c>
      <c r="G13" s="31">
        <f t="shared" ref="G13:G14" ca="1" si="5">F13/8</f>
        <v>8366.8421189399996</v>
      </c>
      <c r="H13" s="30" t="str">
        <f t="shared" ca="1" si="4"/>
        <v>Heating included in split system heat pump</v>
      </c>
      <c r="I13" s="30" t="str">
        <f t="shared" ca="1" si="4"/>
        <v>Ducted mini-split heat pump, fan coil in-unit, 2-ton 21 SEER/13 EER, 11 HSPF</v>
      </c>
      <c r="J13" s="30">
        <f t="shared" ca="1" si="4"/>
        <v>0</v>
      </c>
      <c r="K13" s="30">
        <f t="shared" ca="1" si="4"/>
        <v>58316.736951520004</v>
      </c>
      <c r="L13" s="30">
        <f t="shared" ca="1" si="4"/>
        <v>5249</v>
      </c>
      <c r="M13" s="30">
        <f t="shared" ca="1" si="4"/>
        <v>2543</v>
      </c>
      <c r="N13" s="30">
        <f t="shared" ca="1" si="4"/>
        <v>826</v>
      </c>
      <c r="O13" s="30">
        <f t="shared" ca="1" si="4"/>
        <v>0</v>
      </c>
      <c r="P13" s="30"/>
      <c r="Q13" s="58"/>
      <c r="R13" s="58"/>
    </row>
    <row r="14" spans="1:18" x14ac:dyDescent="0.3">
      <c r="B14" s="53" t="s">
        <v>137</v>
      </c>
      <c r="C14" s="30" t="str">
        <f t="shared" ca="1" si="3"/>
        <v>Low Rise Multi-Family: New Construction</v>
      </c>
      <c r="D14" s="30" t="str">
        <f t="shared" ca="1" si="4"/>
        <v>Electric Option</v>
      </c>
      <c r="E14" s="32">
        <f t="shared" ca="1" si="4"/>
        <v>3</v>
      </c>
      <c r="F14" s="31">
        <f t="shared" ca="1" si="4"/>
        <v>82544.736951519997</v>
      </c>
      <c r="G14" s="31">
        <f t="shared" ca="1" si="5"/>
        <v>10318.09211894</v>
      </c>
      <c r="H14" s="30" t="str">
        <f t="shared" ca="1" si="4"/>
        <v>Heating included in split system heat pump</v>
      </c>
      <c r="I14" s="30" t="str">
        <f t="shared" ca="1" si="4"/>
        <v>Ducted mini-split heat pump, fan coil in-unit, 2-ton 30 SEER/15 EER, 14 HSPF</v>
      </c>
      <c r="J14" s="30">
        <f t="shared" ca="1" si="4"/>
        <v>0</v>
      </c>
      <c r="K14" s="30">
        <f t="shared" ca="1" si="4"/>
        <v>71916.736951519997</v>
      </c>
      <c r="L14" s="30">
        <f t="shared" ca="1" si="4"/>
        <v>6473</v>
      </c>
      <c r="M14" s="30">
        <f t="shared" ca="1" si="4"/>
        <v>3136</v>
      </c>
      <c r="N14" s="30">
        <f t="shared" ca="1" si="4"/>
        <v>1019</v>
      </c>
      <c r="O14" s="30">
        <f t="shared" ca="1" si="4"/>
        <v>0</v>
      </c>
      <c r="P14" s="30"/>
      <c r="Q14" s="58"/>
      <c r="R14" s="58"/>
    </row>
    <row r="15" spans="1:18" x14ac:dyDescent="0.3">
      <c r="B15" s="81" t="s">
        <v>176</v>
      </c>
      <c r="C15" s="82" t="s">
        <v>180</v>
      </c>
      <c r="D15" s="82" t="s">
        <v>181</v>
      </c>
      <c r="E15" s="83">
        <v>3</v>
      </c>
      <c r="F15" s="84">
        <v>34443.989630511998</v>
      </c>
      <c r="G15" s="84">
        <v>4305.4987038139998</v>
      </c>
      <c r="H15" s="82" t="s">
        <v>185</v>
      </c>
      <c r="I15" s="82" t="s">
        <v>18</v>
      </c>
      <c r="J15" s="82">
        <v>0</v>
      </c>
      <c r="K15" s="82">
        <v>30009.989630511998</v>
      </c>
      <c r="L15" s="82">
        <v>2701</v>
      </c>
      <c r="M15" s="82">
        <v>1308</v>
      </c>
      <c r="N15" s="82">
        <v>425</v>
      </c>
      <c r="O15" s="82">
        <v>0</v>
      </c>
      <c r="P15" s="30"/>
      <c r="Q15" s="58"/>
      <c r="R15" s="58"/>
    </row>
    <row r="16" spans="1:18" x14ac:dyDescent="0.3">
      <c r="B16" s="81" t="s">
        <v>177</v>
      </c>
      <c r="C16" s="82" t="s">
        <v>180</v>
      </c>
      <c r="D16" s="82" t="s">
        <v>182</v>
      </c>
      <c r="E16" s="83">
        <v>6</v>
      </c>
      <c r="F16" s="84">
        <v>74676.147598192008</v>
      </c>
      <c r="G16" s="84">
        <v>9334.5184497740011</v>
      </c>
      <c r="H16" s="82" t="s">
        <v>186</v>
      </c>
      <c r="I16" s="82" t="s">
        <v>80</v>
      </c>
      <c r="J16" s="82">
        <v>0</v>
      </c>
      <c r="K16" s="82">
        <v>65061.147598192008</v>
      </c>
      <c r="L16" s="82">
        <v>5856</v>
      </c>
      <c r="M16" s="82">
        <v>2837</v>
      </c>
      <c r="N16" s="82">
        <v>922</v>
      </c>
      <c r="O16" s="82">
        <v>0</v>
      </c>
      <c r="P16" s="30"/>
      <c r="Q16" s="58"/>
      <c r="R16" s="58"/>
    </row>
    <row r="17" spans="2:18" x14ac:dyDescent="0.3">
      <c r="B17" s="81" t="s">
        <v>178</v>
      </c>
      <c r="C17" s="82" t="s">
        <v>180</v>
      </c>
      <c r="D17" s="82" t="s">
        <v>182</v>
      </c>
      <c r="E17" s="83">
        <v>4</v>
      </c>
      <c r="F17" s="84">
        <v>82022.147598192008</v>
      </c>
      <c r="G17" s="84">
        <v>10252.768449774001</v>
      </c>
      <c r="H17" s="82" t="s">
        <v>185</v>
      </c>
      <c r="I17" s="82" t="s">
        <v>65</v>
      </c>
      <c r="J17" s="82">
        <v>0</v>
      </c>
      <c r="K17" s="82">
        <v>71461.147598192008</v>
      </c>
      <c r="L17" s="82">
        <v>6432</v>
      </c>
      <c r="M17" s="82">
        <v>3116</v>
      </c>
      <c r="N17" s="82">
        <v>1013</v>
      </c>
      <c r="O17" s="82">
        <v>0</v>
      </c>
      <c r="P17" s="30"/>
      <c r="Q17" s="58"/>
      <c r="R17" s="58"/>
    </row>
    <row r="18" spans="2:18" x14ac:dyDescent="0.3">
      <c r="B18" s="81" t="s">
        <v>179</v>
      </c>
      <c r="C18" s="82" t="s">
        <v>180</v>
      </c>
      <c r="D18" s="82" t="s">
        <v>182</v>
      </c>
      <c r="E18" s="83">
        <v>9</v>
      </c>
      <c r="F18" s="84">
        <v>86888.147598191994</v>
      </c>
      <c r="G18" s="84">
        <v>10861.018449773999</v>
      </c>
      <c r="H18" s="82" t="s">
        <v>187</v>
      </c>
      <c r="I18" s="82" t="s">
        <v>75</v>
      </c>
      <c r="J18" s="82">
        <v>0</v>
      </c>
      <c r="K18" s="82">
        <v>75701.147598191994</v>
      </c>
      <c r="L18" s="82">
        <v>6813</v>
      </c>
      <c r="M18" s="82">
        <v>3301</v>
      </c>
      <c r="N18" s="82">
        <v>1073</v>
      </c>
      <c r="O18" s="82">
        <v>0</v>
      </c>
      <c r="P18" s="30"/>
      <c r="Q18" s="58"/>
      <c r="R18" s="58"/>
    </row>
    <row r="19" spans="2:18" x14ac:dyDescent="0.3">
      <c r="B19" s="81" t="s">
        <v>170</v>
      </c>
      <c r="C19" s="82" t="s">
        <v>180</v>
      </c>
      <c r="D19" s="82" t="s">
        <v>183</v>
      </c>
      <c r="E19" s="83">
        <v>3</v>
      </c>
      <c r="F19" s="84">
        <v>15113.438645120001</v>
      </c>
      <c r="G19" s="84">
        <v>1889.1798306400001</v>
      </c>
      <c r="H19" s="82" t="s">
        <v>174</v>
      </c>
      <c r="I19" s="82" t="s">
        <v>18</v>
      </c>
      <c r="J19" s="82">
        <v>0</v>
      </c>
      <c r="K19" s="82">
        <v>13167.438645120001</v>
      </c>
      <c r="L19" s="82">
        <v>1185</v>
      </c>
      <c r="M19" s="82">
        <v>574</v>
      </c>
      <c r="N19" s="82">
        <v>187</v>
      </c>
      <c r="O19" s="82">
        <v>0</v>
      </c>
      <c r="P19" s="30"/>
      <c r="Q19" s="58"/>
      <c r="R19" s="58"/>
    </row>
    <row r="20" spans="2:18" x14ac:dyDescent="0.3">
      <c r="B20" s="81" t="s">
        <v>171</v>
      </c>
      <c r="C20" s="82" t="s">
        <v>180</v>
      </c>
      <c r="D20" s="82" t="s">
        <v>184</v>
      </c>
      <c r="E20" s="83">
        <v>6</v>
      </c>
      <c r="F20" s="84">
        <v>58328.596612800007</v>
      </c>
      <c r="G20" s="84">
        <v>7291.0745766000009</v>
      </c>
      <c r="H20" s="82" t="s">
        <v>174</v>
      </c>
      <c r="I20" s="82" t="s">
        <v>80</v>
      </c>
      <c r="J20" s="82">
        <v>0</v>
      </c>
      <c r="K20" s="82">
        <v>50818.596612800007</v>
      </c>
      <c r="L20" s="82">
        <v>4574</v>
      </c>
      <c r="M20" s="82">
        <v>2216</v>
      </c>
      <c r="N20" s="82">
        <v>720</v>
      </c>
      <c r="O20" s="82">
        <v>0</v>
      </c>
      <c r="P20" s="30"/>
      <c r="Q20" s="58"/>
      <c r="R20" s="58"/>
    </row>
    <row r="21" spans="2:18" x14ac:dyDescent="0.3">
      <c r="B21" s="81" t="s">
        <v>172</v>
      </c>
      <c r="C21" s="82" t="s">
        <v>180</v>
      </c>
      <c r="D21" s="82" t="s">
        <v>184</v>
      </c>
      <c r="E21" s="83">
        <v>4</v>
      </c>
      <c r="F21" s="84">
        <v>65674.5966128</v>
      </c>
      <c r="G21" s="84">
        <v>8209.3245766</v>
      </c>
      <c r="H21" s="82" t="s">
        <v>174</v>
      </c>
      <c r="I21" s="82" t="s">
        <v>65</v>
      </c>
      <c r="J21" s="82">
        <v>0</v>
      </c>
      <c r="K21" s="82">
        <v>57218.596612799993</v>
      </c>
      <c r="L21" s="82">
        <v>5150</v>
      </c>
      <c r="M21" s="82">
        <v>2495</v>
      </c>
      <c r="N21" s="82">
        <v>811</v>
      </c>
      <c r="O21" s="82">
        <v>0</v>
      </c>
      <c r="P21" s="30"/>
      <c r="Q21" s="58"/>
      <c r="R21" s="58"/>
    </row>
    <row r="22" spans="2:18" x14ac:dyDescent="0.3">
      <c r="B22" s="81" t="s">
        <v>173</v>
      </c>
      <c r="C22" s="82" t="s">
        <v>180</v>
      </c>
      <c r="D22" s="82" t="s">
        <v>184</v>
      </c>
      <c r="E22" s="83">
        <v>10</v>
      </c>
      <c r="F22" s="84">
        <v>70163.66021460999</v>
      </c>
      <c r="G22" s="84">
        <v>8770.4575268262488</v>
      </c>
      <c r="H22" s="82" t="s">
        <v>175</v>
      </c>
      <c r="I22" s="82" t="s">
        <v>75</v>
      </c>
      <c r="J22" s="82">
        <v>0</v>
      </c>
      <c r="K22" s="82">
        <v>61130.660214609998</v>
      </c>
      <c r="L22" s="82">
        <v>5502</v>
      </c>
      <c r="M22" s="82">
        <v>2665</v>
      </c>
      <c r="N22" s="82">
        <v>866</v>
      </c>
      <c r="O22" s="82">
        <v>0</v>
      </c>
      <c r="P22" s="30"/>
      <c r="Q22" s="58"/>
      <c r="R22" s="58"/>
    </row>
    <row r="23" spans="2:18" x14ac:dyDescent="0.3">
      <c r="B23" s="50" t="s">
        <v>189</v>
      </c>
      <c r="C23" s="82" t="str">
        <f t="shared" ref="C23:O29" ca="1" si="6">INDIRECT("'"&amp;$B23&amp;"'!"&amp;C$1)</f>
        <v>Low Rise Multi-Family: New Construction</v>
      </c>
      <c r="D23" s="82" t="s">
        <v>188</v>
      </c>
      <c r="E23" s="83">
        <f t="shared" ca="1" si="6"/>
        <v>6</v>
      </c>
      <c r="F23" s="84">
        <f t="shared" ca="1" si="6"/>
        <v>53160.736951520004</v>
      </c>
      <c r="G23" s="84">
        <f t="shared" ref="G23:G29" ca="1" si="7">F23/8</f>
        <v>6645.0921189400005</v>
      </c>
      <c r="H23" s="82" t="str">
        <f t="shared" ref="H23:O27" ca="1" si="8">INDIRECT("'"&amp;$B23&amp;"'!"&amp;H$1)</f>
        <v>Heating included in split system heat pump</v>
      </c>
      <c r="I23" s="82" t="str">
        <f t="shared" ca="1" si="8"/>
        <v>Ductless mini-split heat pump, wall-mounted interior unit, 1.5-ton 21 SEER/13 EER, 11 HSPF</v>
      </c>
      <c r="J23" s="82">
        <f t="shared" ca="1" si="8"/>
        <v>0</v>
      </c>
      <c r="K23" s="82">
        <f t="shared" ca="1" si="8"/>
        <v>46316.736951520004</v>
      </c>
      <c r="L23" s="82">
        <f t="shared" ca="1" si="8"/>
        <v>4169</v>
      </c>
      <c r="M23" s="82">
        <f t="shared" ca="1" si="8"/>
        <v>2019</v>
      </c>
      <c r="N23" s="82">
        <f t="shared" ca="1" si="8"/>
        <v>656</v>
      </c>
      <c r="O23" s="82">
        <f t="shared" ca="1" si="8"/>
        <v>0</v>
      </c>
      <c r="P23" s="30"/>
      <c r="Q23" s="58"/>
      <c r="R23" s="58"/>
    </row>
    <row r="24" spans="2:18" x14ac:dyDescent="0.3">
      <c r="B24" s="81" t="s">
        <v>190</v>
      </c>
      <c r="C24" s="82" t="str">
        <f t="shared" ca="1" si="6"/>
        <v>Low Rise Multi-Family: New Construction</v>
      </c>
      <c r="D24" s="82" t="s">
        <v>188</v>
      </c>
      <c r="E24" s="83">
        <f t="shared" ca="1" si="6"/>
        <v>6</v>
      </c>
      <c r="F24" s="84">
        <f t="shared" ca="1" si="6"/>
        <v>63892.736951520004</v>
      </c>
      <c r="G24" s="84">
        <f t="shared" ca="1" si="7"/>
        <v>7986.5921189400005</v>
      </c>
      <c r="H24" s="82" t="str">
        <f t="shared" ca="1" si="8"/>
        <v>Heating included in split system heat pump</v>
      </c>
      <c r="I24" s="82" t="str">
        <f t="shared" ca="1" si="8"/>
        <v>Ductless mini-split heat pump, wall-mounted interior unit, 1.5-ton 30 SEER/15 EER, 14 HSPF</v>
      </c>
      <c r="J24" s="82">
        <f t="shared" ca="1" si="8"/>
        <v>0</v>
      </c>
      <c r="K24" s="82">
        <f t="shared" ca="1" si="8"/>
        <v>55666.736951520004</v>
      </c>
      <c r="L24" s="82">
        <f t="shared" ca="1" si="8"/>
        <v>5010</v>
      </c>
      <c r="M24" s="82">
        <f t="shared" ca="1" si="8"/>
        <v>2427</v>
      </c>
      <c r="N24" s="82">
        <f t="shared" ca="1" si="8"/>
        <v>789</v>
      </c>
      <c r="O24" s="82">
        <f t="shared" ca="1" si="8"/>
        <v>0</v>
      </c>
      <c r="P24" s="30"/>
      <c r="Q24" s="58"/>
      <c r="R24" s="58"/>
    </row>
    <row r="25" spans="2:18" x14ac:dyDescent="0.3">
      <c r="B25" s="81" t="s">
        <v>191</v>
      </c>
      <c r="C25" s="82" t="str">
        <f t="shared" ca="1" si="6"/>
        <v>Low Rise Multi-Family: New Construction</v>
      </c>
      <c r="D25" s="82" t="s">
        <v>188</v>
      </c>
      <c r="E25" s="83">
        <f t="shared" ca="1" si="6"/>
        <v>10</v>
      </c>
      <c r="F25" s="84">
        <f t="shared" ca="1" si="6"/>
        <v>58670.736951520004</v>
      </c>
      <c r="G25" s="84">
        <f t="shared" ca="1" si="7"/>
        <v>7333.8421189400005</v>
      </c>
      <c r="H25" s="82" t="str">
        <f t="shared" ca="1" si="8"/>
        <v>Heating included in split system heat pump</v>
      </c>
      <c r="I25" s="82" t="str">
        <f t="shared" ca="1" si="8"/>
        <v>Ductless mini-split heat pump, wall-mounted interior unit, 2.5-ton 21 SEER/13 EER, 11 HSPF</v>
      </c>
      <c r="J25" s="82">
        <f t="shared" ca="1" si="8"/>
        <v>0</v>
      </c>
      <c r="K25" s="82">
        <f t="shared" ca="1" si="8"/>
        <v>51116.736951520004</v>
      </c>
      <c r="L25" s="82">
        <f t="shared" ca="1" si="8"/>
        <v>4601</v>
      </c>
      <c r="M25" s="82">
        <f t="shared" ca="1" si="8"/>
        <v>2229</v>
      </c>
      <c r="N25" s="82">
        <f t="shared" ca="1" si="8"/>
        <v>724</v>
      </c>
      <c r="O25" s="82">
        <f t="shared" ca="1" si="8"/>
        <v>0</v>
      </c>
      <c r="P25" s="30"/>
      <c r="Q25" s="58"/>
      <c r="R25" s="58"/>
    </row>
    <row r="26" spans="2:18" x14ac:dyDescent="0.3">
      <c r="B26" s="81" t="s">
        <v>192</v>
      </c>
      <c r="C26" s="82" t="str">
        <f t="shared" ca="1" si="6"/>
        <v>Low Rise Multi-Family: New Construction</v>
      </c>
      <c r="D26" s="82" t="s">
        <v>188</v>
      </c>
      <c r="E26" s="83">
        <f t="shared" ca="1" si="6"/>
        <v>12</v>
      </c>
      <c r="F26" s="84">
        <f t="shared" ca="1" si="6"/>
        <v>71352.736951519997</v>
      </c>
      <c r="G26" s="84">
        <f t="shared" ca="1" si="7"/>
        <v>8919.0921189399996</v>
      </c>
      <c r="H26" s="82" t="str">
        <f t="shared" ca="1" si="8"/>
        <v>Heating included in split system heat pump</v>
      </c>
      <c r="I26" s="82" t="str">
        <f t="shared" ca="1" si="8"/>
        <v>Ductless mini-split heat pump, wall-mounted interior unit, 2.5-ton 30 SEER/15 EER, 14 HSPF</v>
      </c>
      <c r="J26" s="82">
        <f t="shared" ca="1" si="8"/>
        <v>0</v>
      </c>
      <c r="K26" s="82">
        <f t="shared" ca="1" si="8"/>
        <v>62166.736951520004</v>
      </c>
      <c r="L26" s="82">
        <f t="shared" ca="1" si="8"/>
        <v>5595</v>
      </c>
      <c r="M26" s="82">
        <f t="shared" ca="1" si="8"/>
        <v>2710</v>
      </c>
      <c r="N26" s="82">
        <f t="shared" ca="1" si="8"/>
        <v>881</v>
      </c>
      <c r="O26" s="82">
        <f t="shared" ca="1" si="8"/>
        <v>0</v>
      </c>
      <c r="P26" s="30"/>
      <c r="Q26" s="58"/>
      <c r="R26" s="58"/>
    </row>
    <row r="27" spans="2:18" x14ac:dyDescent="0.3">
      <c r="B27" s="81" t="s">
        <v>193</v>
      </c>
      <c r="C27" s="82" t="str">
        <f t="shared" ca="1" si="6"/>
        <v>Low Rise Multi-Family: New Construction</v>
      </c>
      <c r="D27" s="82" t="s">
        <v>188</v>
      </c>
      <c r="E27" s="83">
        <f t="shared" ca="1" si="6"/>
        <v>3</v>
      </c>
      <c r="F27" s="84">
        <f t="shared" ca="1" si="6"/>
        <v>53850.736951520004</v>
      </c>
      <c r="G27" s="84">
        <f t="shared" ca="1" si="7"/>
        <v>6731.3421189400005</v>
      </c>
      <c r="H27" s="82" t="str">
        <f t="shared" ca="1" si="8"/>
        <v>Heating included in split system heat pump</v>
      </c>
      <c r="I27" s="82" t="str">
        <f t="shared" ca="1" si="8"/>
        <v>Ductless mini-split heat pump, wall-mounted interior unit, 2-ton 14 SEER/12.2 EER, 8.2 HSPF</v>
      </c>
      <c r="J27" s="82">
        <f t="shared" ca="1" si="8"/>
        <v>0</v>
      </c>
      <c r="K27" s="82">
        <f t="shared" ca="1" si="8"/>
        <v>46916.736951520004</v>
      </c>
      <c r="L27" s="82">
        <f t="shared" ca="1" si="8"/>
        <v>4223</v>
      </c>
      <c r="M27" s="82">
        <f t="shared" ca="1" si="8"/>
        <v>2046</v>
      </c>
      <c r="N27" s="82">
        <f t="shared" ca="1" si="8"/>
        <v>665</v>
      </c>
      <c r="O27" s="82">
        <f t="shared" ca="1" si="8"/>
        <v>0</v>
      </c>
      <c r="P27" s="30"/>
      <c r="Q27" s="58"/>
      <c r="R27" s="58"/>
    </row>
    <row r="28" spans="2:18" x14ac:dyDescent="0.3">
      <c r="B28" s="81" t="s">
        <v>194</v>
      </c>
      <c r="C28" s="82" t="str">
        <f t="shared" ca="1" si="6"/>
        <v>Low Rise Multi-Family: New Construction</v>
      </c>
      <c r="D28" s="82" t="s">
        <v>188</v>
      </c>
      <c r="E28" s="83">
        <f t="shared" ca="1" si="6"/>
        <v>3</v>
      </c>
      <c r="F28" s="84">
        <f t="shared" ca="1" si="6"/>
        <v>55915.736951520004</v>
      </c>
      <c r="G28" s="84">
        <f t="shared" ca="1" si="7"/>
        <v>6989.4671189400005</v>
      </c>
      <c r="H28" s="82" t="str">
        <f t="shared" ca="1" si="6"/>
        <v>Heating included in split system heat pump</v>
      </c>
      <c r="I28" s="82" t="str">
        <f t="shared" ca="1" si="6"/>
        <v>Ductless mini-split heat pump, wall-mounted interior unit, 2-ton 21 SEER/13 EER, 11 HSPF</v>
      </c>
      <c r="J28" s="82">
        <f t="shared" ca="1" si="6"/>
        <v>0</v>
      </c>
      <c r="K28" s="82">
        <f t="shared" ca="1" si="6"/>
        <v>48716.736951520004</v>
      </c>
      <c r="L28" s="82">
        <f t="shared" ca="1" si="6"/>
        <v>4385</v>
      </c>
      <c r="M28" s="82">
        <f t="shared" ca="1" si="6"/>
        <v>2124</v>
      </c>
      <c r="N28" s="82">
        <f t="shared" ca="1" si="6"/>
        <v>690</v>
      </c>
      <c r="O28" s="82">
        <f t="shared" ca="1" si="6"/>
        <v>0</v>
      </c>
      <c r="P28" s="30"/>
      <c r="Q28" s="58"/>
      <c r="R28" s="58"/>
    </row>
    <row r="29" spans="2:18" x14ac:dyDescent="0.3">
      <c r="B29" s="81" t="s">
        <v>195</v>
      </c>
      <c r="C29" s="82" t="str">
        <f t="shared" ca="1" si="6"/>
        <v>Low Rise Multi-Family: New Construction</v>
      </c>
      <c r="D29" s="82" t="s">
        <v>188</v>
      </c>
      <c r="E29" s="83">
        <f t="shared" ca="1" si="6"/>
        <v>3</v>
      </c>
      <c r="F29" s="84">
        <f t="shared" ca="1" si="6"/>
        <v>67623.736951519997</v>
      </c>
      <c r="G29" s="84">
        <f t="shared" ca="1" si="7"/>
        <v>8452.9671189399996</v>
      </c>
      <c r="H29" s="82" t="str">
        <f t="shared" ca="1" si="6"/>
        <v>Heating included in split system heat pump</v>
      </c>
      <c r="I29" s="82" t="str">
        <f t="shared" ca="1" si="6"/>
        <v>Ductless mini-split heat pump, wall-mounted interior unit, 2-ton 30 SEER/15 EER, 14 HSPF</v>
      </c>
      <c r="J29" s="82">
        <f t="shared" ca="1" si="6"/>
        <v>0</v>
      </c>
      <c r="K29" s="82">
        <f t="shared" ca="1" si="6"/>
        <v>58916.736951520004</v>
      </c>
      <c r="L29" s="82">
        <f t="shared" ca="1" si="6"/>
        <v>5303</v>
      </c>
      <c r="M29" s="82">
        <f t="shared" ca="1" si="6"/>
        <v>2569</v>
      </c>
      <c r="N29" s="82">
        <f t="shared" ca="1" si="6"/>
        <v>835</v>
      </c>
      <c r="O29" s="82">
        <f t="shared" ca="1" si="6"/>
        <v>0</v>
      </c>
      <c r="P29" s="30"/>
      <c r="Q29" s="58"/>
      <c r="R29" s="58"/>
    </row>
    <row r="30" spans="2:18" x14ac:dyDescent="0.3">
      <c r="B30" s="53"/>
      <c r="C30" s="30"/>
      <c r="D30" s="30"/>
      <c r="E30" s="32"/>
      <c r="F30" s="31"/>
      <c r="G30" s="31"/>
      <c r="H30" s="30"/>
      <c r="I30" s="30"/>
      <c r="J30" s="30"/>
      <c r="K30" s="30"/>
      <c r="L30" s="30"/>
      <c r="M30" s="30"/>
      <c r="N30" s="30"/>
      <c r="O30" s="30"/>
      <c r="P30" s="30"/>
      <c r="Q30" s="58"/>
      <c r="R30" s="58"/>
    </row>
    <row r="31" spans="2:18" x14ac:dyDescent="0.3">
      <c r="D31" s="16"/>
    </row>
    <row r="33" spans="2:2" x14ac:dyDescent="0.3">
      <c r="B33" t="s">
        <v>163</v>
      </c>
    </row>
    <row r="34" spans="2:2" x14ac:dyDescent="0.3">
      <c r="B34" t="s">
        <v>164</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3"/>
  <dimension ref="A1:O49"/>
  <sheetViews>
    <sheetView showGridLines="0" topLeftCell="A6"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O1" t="str">
        <f>A1&amp;": "&amp;A2</f>
        <v>Low Rise Multi-Family: New Construction</v>
      </c>
    </row>
    <row r="2" spans="1:15" x14ac:dyDescent="0.3">
      <c r="A2" t="s">
        <v>0</v>
      </c>
    </row>
    <row r="3" spans="1:15" x14ac:dyDescent="0.3">
      <c r="A3" t="s">
        <v>49</v>
      </c>
      <c r="F3" s="41"/>
      <c r="G3" s="9"/>
      <c r="H3" s="8"/>
    </row>
    <row r="4" spans="1:15" ht="14.4" customHeight="1" x14ac:dyDescent="0.3">
      <c r="A4" s="88">
        <v>12</v>
      </c>
      <c r="B4" s="88"/>
      <c r="C4" s="88"/>
    </row>
    <row r="6" spans="1:15" x14ac:dyDescent="0.3">
      <c r="B6" t="s">
        <v>50</v>
      </c>
      <c r="F6" s="41"/>
      <c r="G6" s="9"/>
      <c r="H6" s="8"/>
    </row>
    <row r="7" spans="1:15" x14ac:dyDescent="0.3">
      <c r="C7" t="s">
        <v>120</v>
      </c>
      <c r="F7" s="41"/>
      <c r="G7" s="9"/>
      <c r="H7" s="38" t="s">
        <v>112</v>
      </c>
    </row>
    <row r="8" spans="1:15" x14ac:dyDescent="0.3">
      <c r="D8" t="s">
        <v>54</v>
      </c>
      <c r="F8" s="41"/>
      <c r="G8" s="9"/>
      <c r="H8" s="10"/>
    </row>
    <row r="9" spans="1:15" x14ac:dyDescent="0.3">
      <c r="D9" t="s">
        <v>59</v>
      </c>
      <c r="F9" s="41"/>
      <c r="G9" s="9"/>
      <c r="H9" s="10"/>
    </row>
    <row r="10" spans="1:15" x14ac:dyDescent="0.3">
      <c r="E10" s="11"/>
      <c r="F10" s="42"/>
      <c r="G10" s="12"/>
      <c r="H10" s="13">
        <f>SUBTOTAL(9,H6:H9)</f>
        <v>0</v>
      </c>
    </row>
    <row r="11" spans="1:15" x14ac:dyDescent="0.3">
      <c r="F11" s="41"/>
      <c r="G11" s="9"/>
      <c r="H11" s="10">
        <f t="shared" ref="H11:H38" si="0">E11*G11</f>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8</v>
      </c>
      <c r="F14" s="41" t="s">
        <v>62</v>
      </c>
      <c r="G14" s="29">
        <v>1400</v>
      </c>
      <c r="H14" s="10">
        <f t="shared" si="0"/>
        <v>11200</v>
      </c>
    </row>
    <row r="15" spans="1:15" x14ac:dyDescent="0.3">
      <c r="D15" s="22" t="s">
        <v>82</v>
      </c>
      <c r="F15" s="41"/>
      <c r="G15" s="9"/>
      <c r="H15" s="10">
        <f t="shared" si="0"/>
        <v>0</v>
      </c>
    </row>
    <row r="16" spans="1:15" x14ac:dyDescent="0.3">
      <c r="D16" t="s">
        <v>64</v>
      </c>
      <c r="E16">
        <v>8</v>
      </c>
      <c r="F16" s="41" t="s">
        <v>60</v>
      </c>
      <c r="G16" s="9">
        <v>250</v>
      </c>
      <c r="H16" s="10">
        <f t="shared" si="0"/>
        <v>2000</v>
      </c>
    </row>
    <row r="17" spans="3:8" x14ac:dyDescent="0.3">
      <c r="D17" t="s">
        <v>54</v>
      </c>
      <c r="E17">
        <v>96</v>
      </c>
      <c r="F17" s="41" t="s">
        <v>58</v>
      </c>
      <c r="G17" s="9">
        <f>VLOOKUP($A$4,zone_lu,4)</f>
        <v>58.866228829999997</v>
      </c>
      <c r="H17" s="10">
        <f t="shared" si="0"/>
        <v>5651.1579676799993</v>
      </c>
    </row>
    <row r="18" spans="3:8" x14ac:dyDescent="0.3">
      <c r="C18" t="s">
        <v>52</v>
      </c>
      <c r="F18" s="41"/>
      <c r="G18" s="9"/>
      <c r="H18" s="10">
        <f t="shared" si="0"/>
        <v>0</v>
      </c>
    </row>
    <row r="19" spans="3:8" x14ac:dyDescent="0.3">
      <c r="D19" t="s">
        <v>66</v>
      </c>
      <c r="E19">
        <v>8</v>
      </c>
      <c r="F19" s="41" t="s">
        <v>62</v>
      </c>
      <c r="G19" s="29">
        <v>3800</v>
      </c>
      <c r="H19" s="10">
        <f t="shared" si="0"/>
        <v>30400</v>
      </c>
    </row>
    <row r="20" spans="3:8" x14ac:dyDescent="0.3">
      <c r="D20" s="22" t="s">
        <v>75</v>
      </c>
      <c r="F20" s="41"/>
      <c r="G20" s="9"/>
      <c r="H20" s="10">
        <f t="shared" si="0"/>
        <v>0</v>
      </c>
    </row>
    <row r="21" spans="3:8" x14ac:dyDescent="0.3">
      <c r="D21" s="15" t="s">
        <v>68</v>
      </c>
      <c r="E21">
        <v>8</v>
      </c>
      <c r="F21" s="41" t="s">
        <v>62</v>
      </c>
      <c r="G21" s="9">
        <v>100</v>
      </c>
      <c r="H21" s="10">
        <f t="shared" si="0"/>
        <v>800</v>
      </c>
    </row>
    <row r="22" spans="3:8" x14ac:dyDescent="0.3">
      <c r="D22" s="15" t="s">
        <v>114</v>
      </c>
      <c r="E22">
        <v>800</v>
      </c>
      <c r="F22" s="41" t="s">
        <v>67</v>
      </c>
      <c r="G22" s="9">
        <v>4</v>
      </c>
      <c r="H22" s="10">
        <f t="shared" si="0"/>
        <v>3200</v>
      </c>
    </row>
    <row r="23" spans="3:8" x14ac:dyDescent="0.3">
      <c r="D23" t="s">
        <v>64</v>
      </c>
      <c r="E23">
        <v>8</v>
      </c>
      <c r="F23" s="41" t="s">
        <v>60</v>
      </c>
      <c r="G23" s="9">
        <v>400</v>
      </c>
      <c r="H23" s="10">
        <f t="shared" si="0"/>
        <v>3200</v>
      </c>
    </row>
    <row r="24" spans="3:8" x14ac:dyDescent="0.3">
      <c r="D24" t="s">
        <v>54</v>
      </c>
      <c r="E24">
        <v>96</v>
      </c>
      <c r="F24" s="41" t="s">
        <v>58</v>
      </c>
      <c r="G24" s="9">
        <f>VLOOKUP($A$4,zone_lu,4)</f>
        <v>58.866228829999997</v>
      </c>
      <c r="H24" s="10">
        <f t="shared" si="0"/>
        <v>5651.1579676799993</v>
      </c>
    </row>
    <row r="25" spans="3:8" x14ac:dyDescent="0.3">
      <c r="C25" t="s">
        <v>106</v>
      </c>
      <c r="F25" s="41"/>
      <c r="G25" s="9"/>
      <c r="H25" s="10"/>
    </row>
    <row r="26" spans="3:8" x14ac:dyDescent="0.3">
      <c r="D26" t="s">
        <v>111</v>
      </c>
      <c r="E26">
        <v>8</v>
      </c>
      <c r="F26" s="41" t="s">
        <v>62</v>
      </c>
      <c r="G26" s="9">
        <v>400</v>
      </c>
      <c r="H26" s="10">
        <f t="shared" si="0"/>
        <v>3200</v>
      </c>
    </row>
    <row r="27" spans="3:8" x14ac:dyDescent="0.3">
      <c r="C27" t="s">
        <v>128</v>
      </c>
      <c r="F27" s="41"/>
      <c r="G27" s="9"/>
      <c r="H27" s="10"/>
    </row>
    <row r="28" spans="3:8" x14ac:dyDescent="0.3">
      <c r="D28" t="s">
        <v>129</v>
      </c>
      <c r="E28">
        <v>16</v>
      </c>
      <c r="F28" s="41" t="s">
        <v>62</v>
      </c>
      <c r="G28" s="9">
        <v>75</v>
      </c>
      <c r="H28" s="10">
        <f t="shared" si="0"/>
        <v>1200</v>
      </c>
    </row>
    <row r="29" spans="3:8" x14ac:dyDescent="0.3">
      <c r="D29" t="s">
        <v>130</v>
      </c>
      <c r="F29" s="41" t="s">
        <v>62</v>
      </c>
      <c r="G29" s="9"/>
      <c r="H29" s="38" t="s">
        <v>112</v>
      </c>
    </row>
    <row r="30" spans="3:8" x14ac:dyDescent="0.3">
      <c r="D30" t="s">
        <v>131</v>
      </c>
      <c r="E30">
        <v>240</v>
      </c>
      <c r="F30" s="41" t="s">
        <v>67</v>
      </c>
      <c r="G30" s="9">
        <v>3</v>
      </c>
      <c r="H30" s="10">
        <f t="shared" si="0"/>
        <v>720</v>
      </c>
    </row>
    <row r="31" spans="3:8" x14ac:dyDescent="0.3">
      <c r="D31" t="s">
        <v>54</v>
      </c>
      <c r="E31">
        <v>96</v>
      </c>
      <c r="F31" s="41" t="s">
        <v>58</v>
      </c>
      <c r="G31" s="9">
        <f>VLOOKUP($A$4,zone_lu,4)</f>
        <v>58.866228829999997</v>
      </c>
      <c r="H31" s="10">
        <f t="shared" si="0"/>
        <v>5651.1579676799993</v>
      </c>
    </row>
    <row r="32" spans="3:8" x14ac:dyDescent="0.3">
      <c r="C32" t="s">
        <v>118</v>
      </c>
      <c r="F32" s="41"/>
      <c r="G32" s="9"/>
      <c r="H32" s="10">
        <f t="shared" si="0"/>
        <v>0</v>
      </c>
    </row>
    <row r="33" spans="2:9" x14ac:dyDescent="0.3">
      <c r="D33" t="s">
        <v>121</v>
      </c>
      <c r="F33" s="41"/>
      <c r="G33" s="9"/>
      <c r="H33" s="38" t="s">
        <v>132</v>
      </c>
    </row>
    <row r="34" spans="2:9" x14ac:dyDescent="0.3">
      <c r="D34" t="s">
        <v>54</v>
      </c>
      <c r="F34" s="41"/>
      <c r="G34" s="9"/>
      <c r="H34" s="38" t="s">
        <v>132</v>
      </c>
    </row>
    <row r="35" spans="2:9" x14ac:dyDescent="0.3">
      <c r="E35" s="11"/>
      <c r="F35" s="42"/>
      <c r="G35" s="12"/>
      <c r="H35" s="13">
        <f>SUBTOTAL(9,H12:H34)</f>
        <v>72873.473903040009</v>
      </c>
    </row>
    <row r="36" spans="2:9" x14ac:dyDescent="0.3">
      <c r="E36" s="16"/>
      <c r="F36" s="43"/>
      <c r="G36" s="17"/>
      <c r="H36" s="18"/>
    </row>
    <row r="37" spans="2:9" x14ac:dyDescent="0.3">
      <c r="B37" s="11"/>
      <c r="C37" s="11" t="s">
        <v>71</v>
      </c>
      <c r="D37" s="11"/>
      <c r="E37" s="11"/>
      <c r="F37" s="42"/>
      <c r="G37" s="12"/>
      <c r="H37" s="13">
        <f>SUBTOTAL(9,H6:H36)</f>
        <v>72873.473903040009</v>
      </c>
    </row>
    <row r="38" spans="2:9" x14ac:dyDescent="0.3">
      <c r="F38" s="41"/>
      <c r="G38" s="9"/>
      <c r="H38" s="10">
        <f t="shared" si="0"/>
        <v>0</v>
      </c>
    </row>
    <row r="39" spans="2:9" x14ac:dyDescent="0.3">
      <c r="B39" t="s">
        <v>104</v>
      </c>
      <c r="E39" s="49">
        <f>ROUND(VLOOKUP($A$4,zone_lu,5)*0.6,2)</f>
        <v>0.09</v>
      </c>
      <c r="F39" s="41"/>
      <c r="G39" s="9"/>
      <c r="H39" s="10">
        <f>ROUND(H37*E39,0)</f>
        <v>6559</v>
      </c>
      <c r="I39" s="10">
        <f>ROUND(I37*F39,0)</f>
        <v>0</v>
      </c>
    </row>
    <row r="40" spans="2:9" x14ac:dyDescent="0.3">
      <c r="E40" s="49"/>
      <c r="F40" s="41"/>
      <c r="G40" s="9"/>
      <c r="H40" s="10"/>
      <c r="I40" s="10"/>
    </row>
    <row r="41" spans="2:9" x14ac:dyDescent="0.3">
      <c r="B41" t="s">
        <v>103</v>
      </c>
      <c r="E41" s="49">
        <f>ROUND(VLOOKUP($A$4,zone_lu,6)*0.4,2)</f>
        <v>0.04</v>
      </c>
      <c r="F41" s="41"/>
      <c r="G41" s="9"/>
      <c r="H41" s="10">
        <f>ROUND(SUM(H37:H40)*E41,0)</f>
        <v>3177</v>
      </c>
      <c r="I41" s="10"/>
    </row>
    <row r="42" spans="2:9" x14ac:dyDescent="0.3">
      <c r="E42" s="49"/>
      <c r="F42" s="41"/>
      <c r="G42" s="9"/>
      <c r="H42" s="10"/>
      <c r="I42" s="10"/>
    </row>
    <row r="43" spans="2:9" x14ac:dyDescent="0.3">
      <c r="B43" t="s">
        <v>127</v>
      </c>
      <c r="E43" s="49">
        <f>VLOOKUP($A$4,zone_lu,7)</f>
        <v>1.2500000000000001E-2</v>
      </c>
      <c r="F43" s="41"/>
      <c r="G43" s="9"/>
      <c r="H43" s="10">
        <f>ROUND(SUM(H37:H42)*E43,0)</f>
        <v>1033</v>
      </c>
      <c r="I43" s="10"/>
    </row>
    <row r="44" spans="2:9" x14ac:dyDescent="0.3">
      <c r="E44" s="49"/>
      <c r="F44" s="41"/>
      <c r="G44" s="9"/>
      <c r="H44" s="10"/>
      <c r="I44" s="10"/>
    </row>
    <row r="45" spans="2:9" x14ac:dyDescent="0.3">
      <c r="B45" t="s">
        <v>105</v>
      </c>
      <c r="E45" s="49"/>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83642.473903040009</v>
      </c>
    </row>
    <row r="49" ht="15" thickTop="1" x14ac:dyDescent="0.3"/>
  </sheetData>
  <mergeCells count="1">
    <mergeCell ref="A4:C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5"/>
  <dimension ref="A1:O49"/>
  <sheetViews>
    <sheetView showGridLines="0" topLeftCell="A6"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1" customWidth="1"/>
    <col min="7" max="7" width="8.88671875" style="9"/>
    <col min="8" max="8" width="9.109375" style="8" bestFit="1" customWidth="1"/>
  </cols>
  <sheetData>
    <row r="1" spans="1:15" x14ac:dyDescent="0.3">
      <c r="A1" t="s">
        <v>141</v>
      </c>
      <c r="O1" t="str">
        <f>A1&amp;": "&amp;A2</f>
        <v>Low Rise Multi-Family: 1990's</v>
      </c>
    </row>
    <row r="2" spans="1:15" x14ac:dyDescent="0.3">
      <c r="A2" t="s">
        <v>10</v>
      </c>
    </row>
    <row r="3" spans="1:15" x14ac:dyDescent="0.3">
      <c r="A3" t="s">
        <v>49</v>
      </c>
    </row>
    <row r="4" spans="1:15" ht="14.4" customHeight="1" x14ac:dyDescent="0.3">
      <c r="A4" s="88">
        <v>3</v>
      </c>
      <c r="B4" s="88"/>
      <c r="C4" s="88"/>
    </row>
    <row r="6" spans="1:15" x14ac:dyDescent="0.3">
      <c r="B6" t="s">
        <v>50</v>
      </c>
    </row>
    <row r="7" spans="1:15" x14ac:dyDescent="0.3">
      <c r="C7" t="s">
        <v>55</v>
      </c>
    </row>
    <row r="8" spans="1:15" x14ac:dyDescent="0.3">
      <c r="D8" t="s">
        <v>54</v>
      </c>
      <c r="E8">
        <v>24</v>
      </c>
      <c r="F8" s="41" t="s">
        <v>58</v>
      </c>
      <c r="G8" s="9">
        <f>VLOOKUP($A$4,zone_lu,4)</f>
        <v>58.866228829999997</v>
      </c>
      <c r="H8" s="10">
        <f>E8*G8</f>
        <v>1412.7894919199998</v>
      </c>
    </row>
    <row r="9" spans="1:15" x14ac:dyDescent="0.3">
      <c r="D9" t="s">
        <v>59</v>
      </c>
      <c r="E9">
        <v>6</v>
      </c>
      <c r="F9" s="41" t="s">
        <v>60</v>
      </c>
      <c r="G9" s="9">
        <v>500</v>
      </c>
      <c r="H9" s="10">
        <f t="shared" ref="H9:H49" si="0">E9*G9</f>
        <v>3000</v>
      </c>
    </row>
    <row r="10" spans="1:15" x14ac:dyDescent="0.3">
      <c r="E10" s="11"/>
      <c r="F10" s="42"/>
      <c r="G10" s="12"/>
      <c r="H10" s="13">
        <f>SUBTOTAL(9,H6:H9)</f>
        <v>4412.7894919199998</v>
      </c>
    </row>
    <row r="11" spans="1:15" x14ac:dyDescent="0.3">
      <c r="H11" s="10">
        <f t="shared" si="0"/>
        <v>0</v>
      </c>
    </row>
    <row r="12" spans="1:15" x14ac:dyDescent="0.3">
      <c r="B12" t="s">
        <v>51</v>
      </c>
      <c r="H12" s="10">
        <f t="shared" si="0"/>
        <v>0</v>
      </c>
    </row>
    <row r="13" spans="1:15" x14ac:dyDescent="0.3">
      <c r="C13" t="s">
        <v>53</v>
      </c>
      <c r="G13" s="29"/>
      <c r="H13" s="10">
        <f t="shared" si="0"/>
        <v>0</v>
      </c>
    </row>
    <row r="14" spans="1:15" x14ac:dyDescent="0.3">
      <c r="D14" t="s">
        <v>61</v>
      </c>
      <c r="E14">
        <v>6</v>
      </c>
      <c r="F14" s="41" t="s">
        <v>62</v>
      </c>
      <c r="G14" s="29">
        <v>1200</v>
      </c>
      <c r="H14" s="10">
        <f t="shared" si="0"/>
        <v>7200</v>
      </c>
    </row>
    <row r="15" spans="1:15" x14ac:dyDescent="0.3">
      <c r="D15" s="24" t="s">
        <v>142</v>
      </c>
      <c r="G15" s="29"/>
      <c r="H15" s="10">
        <f t="shared" si="0"/>
        <v>0</v>
      </c>
    </row>
    <row r="16" spans="1:15" x14ac:dyDescent="0.3">
      <c r="D16" s="23" t="s">
        <v>64</v>
      </c>
      <c r="E16">
        <v>6</v>
      </c>
      <c r="F16" s="41" t="s">
        <v>60</v>
      </c>
      <c r="G16" s="29">
        <v>250</v>
      </c>
      <c r="H16" s="10">
        <f t="shared" si="0"/>
        <v>1500</v>
      </c>
    </row>
    <row r="17" spans="3:8" x14ac:dyDescent="0.3">
      <c r="D17" s="23" t="s">
        <v>54</v>
      </c>
      <c r="E17">
        <v>96</v>
      </c>
      <c r="F17" s="41" t="s">
        <v>58</v>
      </c>
      <c r="G17" s="29">
        <f>VLOOKUP($A$4,zone_lu,4)</f>
        <v>58.866228829999997</v>
      </c>
      <c r="H17" s="10">
        <f t="shared" si="0"/>
        <v>5651.1579676799993</v>
      </c>
    </row>
    <row r="18" spans="3:8" x14ac:dyDescent="0.3">
      <c r="C18" t="s">
        <v>52</v>
      </c>
      <c r="D18" s="23"/>
      <c r="G18" s="29"/>
      <c r="H18" s="10">
        <f t="shared" si="0"/>
        <v>0</v>
      </c>
    </row>
    <row r="19" spans="3:8" x14ac:dyDescent="0.3">
      <c r="D19" s="23" t="s">
        <v>66</v>
      </c>
      <c r="E19">
        <v>6</v>
      </c>
      <c r="F19" s="41" t="s">
        <v>62</v>
      </c>
      <c r="G19" s="29">
        <v>3200</v>
      </c>
      <c r="H19" s="10">
        <f t="shared" si="0"/>
        <v>19200</v>
      </c>
    </row>
    <row r="20" spans="3:8" x14ac:dyDescent="0.3">
      <c r="D20" s="22" t="s">
        <v>80</v>
      </c>
      <c r="G20" s="29"/>
      <c r="H20" s="10">
        <f t="shared" si="0"/>
        <v>0</v>
      </c>
    </row>
    <row r="21" spans="3:8" x14ac:dyDescent="0.3">
      <c r="D21" s="15" t="s">
        <v>68</v>
      </c>
      <c r="E21">
        <v>6</v>
      </c>
      <c r="F21" s="41" t="s">
        <v>62</v>
      </c>
      <c r="G21" s="9">
        <v>100</v>
      </c>
      <c r="H21" s="10">
        <f t="shared" si="0"/>
        <v>600</v>
      </c>
    </row>
    <row r="22" spans="3:8" x14ac:dyDescent="0.3">
      <c r="D22" s="15" t="s">
        <v>114</v>
      </c>
      <c r="E22">
        <v>600</v>
      </c>
      <c r="F22" s="41" t="s">
        <v>67</v>
      </c>
      <c r="G22" s="9">
        <v>4</v>
      </c>
      <c r="H22" s="10">
        <f t="shared" si="0"/>
        <v>2400</v>
      </c>
    </row>
    <row r="23" spans="3:8" x14ac:dyDescent="0.3">
      <c r="D23" t="s">
        <v>64</v>
      </c>
      <c r="E23">
        <v>6</v>
      </c>
      <c r="F23" s="41" t="s">
        <v>60</v>
      </c>
      <c r="G23" s="9">
        <v>400</v>
      </c>
      <c r="H23" s="10">
        <f t="shared" si="0"/>
        <v>2400</v>
      </c>
    </row>
    <row r="24" spans="3:8" x14ac:dyDescent="0.3">
      <c r="D24" t="s">
        <v>54</v>
      </c>
      <c r="E24">
        <f>4*16</f>
        <v>64</v>
      </c>
      <c r="F24" s="41" t="s">
        <v>58</v>
      </c>
      <c r="G24" s="9">
        <f>VLOOKUP($A$4,zone_lu,4)</f>
        <v>58.866228829999997</v>
      </c>
      <c r="H24" s="10">
        <f t="shared" si="0"/>
        <v>3767.4386451199998</v>
      </c>
    </row>
    <row r="25" spans="3:8" x14ac:dyDescent="0.3">
      <c r="C25" t="s">
        <v>106</v>
      </c>
      <c r="H25" s="10"/>
    </row>
    <row r="26" spans="3:8" x14ac:dyDescent="0.3">
      <c r="D26" t="s">
        <v>111</v>
      </c>
      <c r="E26">
        <v>6</v>
      </c>
      <c r="F26" s="41" t="s">
        <v>62</v>
      </c>
      <c r="G26" s="9">
        <v>400</v>
      </c>
      <c r="H26" s="10">
        <f t="shared" si="0"/>
        <v>2400</v>
      </c>
    </row>
    <row r="27" spans="3:8" x14ac:dyDescent="0.3">
      <c r="C27" t="s">
        <v>128</v>
      </c>
      <c r="H27" s="10"/>
    </row>
    <row r="28" spans="3:8" x14ac:dyDescent="0.3">
      <c r="D28" t="s">
        <v>129</v>
      </c>
      <c r="E28">
        <v>6</v>
      </c>
      <c r="F28" s="41" t="s">
        <v>62</v>
      </c>
      <c r="G28" s="9">
        <v>95</v>
      </c>
      <c r="H28" s="10">
        <f t="shared" si="0"/>
        <v>570</v>
      </c>
    </row>
    <row r="29" spans="3:8" x14ac:dyDescent="0.3">
      <c r="D29" t="s">
        <v>130</v>
      </c>
      <c r="H29" s="39" t="s">
        <v>112</v>
      </c>
    </row>
    <row r="30" spans="3:8" x14ac:dyDescent="0.3">
      <c r="D30" t="s">
        <v>131</v>
      </c>
      <c r="H30" s="39" t="s">
        <v>15</v>
      </c>
    </row>
    <row r="31" spans="3:8" x14ac:dyDescent="0.3">
      <c r="D31" t="s">
        <v>54</v>
      </c>
      <c r="E31">
        <v>32</v>
      </c>
      <c r="F31" s="41" t="s">
        <v>58</v>
      </c>
      <c r="G31" s="9">
        <f>VLOOKUP($A$4,zone_lu,4)</f>
        <v>58.866228829999997</v>
      </c>
      <c r="H31" s="10">
        <f t="shared" si="0"/>
        <v>1883.7193225599999</v>
      </c>
    </row>
    <row r="32" spans="3:8" x14ac:dyDescent="0.3">
      <c r="C32" t="s">
        <v>107</v>
      </c>
      <c r="H32" s="10">
        <f t="shared" si="0"/>
        <v>0</v>
      </c>
    </row>
    <row r="33" spans="2:9" x14ac:dyDescent="0.3">
      <c r="D33" t="s">
        <v>64</v>
      </c>
      <c r="E33">
        <v>6</v>
      </c>
      <c r="F33" s="41" t="s">
        <v>60</v>
      </c>
      <c r="G33" s="9">
        <v>250</v>
      </c>
      <c r="H33" s="10">
        <f t="shared" si="0"/>
        <v>1500</v>
      </c>
    </row>
    <row r="34" spans="2:9" x14ac:dyDescent="0.3">
      <c r="D34" t="s">
        <v>54</v>
      </c>
      <c r="E34">
        <v>24</v>
      </c>
      <c r="F34" s="41" t="s">
        <v>58</v>
      </c>
      <c r="G34" s="9">
        <f>VLOOKUP($A$4,zone_lu,4)</f>
        <v>58.866228829999997</v>
      </c>
      <c r="H34" s="10">
        <f t="shared" si="0"/>
        <v>1412.7894919199998</v>
      </c>
    </row>
    <row r="35" spans="2:9" x14ac:dyDescent="0.3">
      <c r="E35" s="11"/>
      <c r="F35" s="42"/>
      <c r="G35" s="12"/>
      <c r="H35" s="13">
        <f>SUBTOTAL(9,H12:H34)</f>
        <v>50485.105427279996</v>
      </c>
    </row>
    <row r="36" spans="2:9" x14ac:dyDescent="0.3">
      <c r="E36" s="16"/>
      <c r="F36" s="43"/>
      <c r="G36" s="17"/>
      <c r="H36" s="18"/>
    </row>
    <row r="37" spans="2:9" x14ac:dyDescent="0.3">
      <c r="B37" s="11"/>
      <c r="C37" s="11" t="s">
        <v>71</v>
      </c>
      <c r="D37" s="11"/>
      <c r="E37" s="11"/>
      <c r="F37" s="42"/>
      <c r="G37" s="12"/>
      <c r="H37" s="13">
        <f>SUBTOTAL(9,H6:H36)</f>
        <v>54897.894919199993</v>
      </c>
    </row>
    <row r="38" spans="2:9" x14ac:dyDescent="0.3">
      <c r="H38" s="10">
        <f t="shared" si="0"/>
        <v>0</v>
      </c>
    </row>
    <row r="39" spans="2:9" x14ac:dyDescent="0.3">
      <c r="B39" t="s">
        <v>104</v>
      </c>
      <c r="E39" s="47">
        <f>VLOOKUP($A$4,zone_lu,5)</f>
        <v>0.15</v>
      </c>
      <c r="H39" s="10">
        <f>ROUND(H37*E39,0)</f>
        <v>8235</v>
      </c>
      <c r="I39" s="10">
        <f>ROUND(I37*F39,0)</f>
        <v>0</v>
      </c>
    </row>
    <row r="40" spans="2:9" x14ac:dyDescent="0.3">
      <c r="E40" s="47"/>
      <c r="H40" s="10"/>
      <c r="I40" s="10"/>
    </row>
    <row r="41" spans="2:9" x14ac:dyDescent="0.3">
      <c r="B41" t="s">
        <v>103</v>
      </c>
      <c r="E41" s="47">
        <f>VLOOKUP($A$4,zone_lu,6)</f>
        <v>0.1</v>
      </c>
      <c r="H41" s="10">
        <f>ROUND(SUM(H37:H40)*E41,0)</f>
        <v>6313</v>
      </c>
      <c r="I41" s="10"/>
    </row>
    <row r="42" spans="2:9" x14ac:dyDescent="0.3">
      <c r="E42" s="47"/>
      <c r="H42" s="10"/>
      <c r="I42" s="10"/>
    </row>
    <row r="43" spans="2:9" x14ac:dyDescent="0.3">
      <c r="B43" t="s">
        <v>127</v>
      </c>
      <c r="E43" s="47">
        <f>VLOOKUP($A$4,zone_lu,7)</f>
        <v>1.2500000000000001E-2</v>
      </c>
      <c r="H43" s="10">
        <f>ROUND(SUM(H37:H42)*E43,0)</f>
        <v>868</v>
      </c>
      <c r="I43" s="10"/>
    </row>
    <row r="44" spans="2:9" x14ac:dyDescent="0.3">
      <c r="E44" s="47"/>
      <c r="H44" s="10"/>
      <c r="I44" s="10"/>
    </row>
    <row r="45" spans="2:9" x14ac:dyDescent="0.3">
      <c r="B45" t="s">
        <v>105</v>
      </c>
      <c r="E45" s="47">
        <f>VLOOKUP($A$4,zone_lu,8)</f>
        <v>0</v>
      </c>
      <c r="H45" s="10">
        <f>ROUND(SUM(H37:H44)*E45,0)</f>
        <v>0</v>
      </c>
      <c r="I45" s="10"/>
    </row>
    <row r="46" spans="2:9" x14ac:dyDescent="0.3">
      <c r="E46" s="19"/>
      <c r="H46" s="10"/>
    </row>
    <row r="47" spans="2:9" x14ac:dyDescent="0.3">
      <c r="H47" s="10">
        <f t="shared" si="0"/>
        <v>0</v>
      </c>
    </row>
    <row r="48" spans="2:9" ht="15" thickBot="1" x14ac:dyDescent="0.35">
      <c r="B48" s="33" t="s">
        <v>72</v>
      </c>
      <c r="C48" s="33"/>
      <c r="D48" s="33"/>
      <c r="E48" s="33"/>
      <c r="F48" s="45"/>
      <c r="G48" s="35"/>
      <c r="H48" s="34">
        <f>SUBTOTAL(9,H6:H47)</f>
        <v>70313.894919199985</v>
      </c>
    </row>
    <row r="49" spans="8:8" ht="15" thickTop="1" x14ac:dyDescent="0.3">
      <c r="H49" s="10">
        <f t="shared" si="0"/>
        <v>0</v>
      </c>
    </row>
  </sheetData>
  <mergeCells count="1">
    <mergeCell ref="A4:C4"/>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7"/>
  <dimension ref="A1:O49"/>
  <sheetViews>
    <sheetView showGridLines="0" topLeftCell="A6"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1990's</v>
      </c>
    </row>
    <row r="2" spans="1:15" x14ac:dyDescent="0.3">
      <c r="A2" t="s">
        <v>10</v>
      </c>
    </row>
    <row r="3" spans="1:15" x14ac:dyDescent="0.3">
      <c r="A3" t="s">
        <v>49</v>
      </c>
    </row>
    <row r="4" spans="1:15" ht="14.4" customHeight="1" x14ac:dyDescent="0.3">
      <c r="A4" s="88">
        <v>4</v>
      </c>
      <c r="B4" s="88"/>
      <c r="C4" s="88"/>
    </row>
    <row r="6" spans="1:15" x14ac:dyDescent="0.3">
      <c r="B6" t="s">
        <v>50</v>
      </c>
      <c r="F6" s="41"/>
      <c r="G6" s="9"/>
      <c r="H6" s="8"/>
    </row>
    <row r="7" spans="1:15" x14ac:dyDescent="0.3">
      <c r="C7" t="s">
        <v>55</v>
      </c>
      <c r="F7" s="41"/>
      <c r="G7" s="9"/>
      <c r="H7" s="8"/>
    </row>
    <row r="8" spans="1:15" x14ac:dyDescent="0.3">
      <c r="D8" t="s">
        <v>54</v>
      </c>
      <c r="E8">
        <v>24</v>
      </c>
      <c r="F8" s="41" t="s">
        <v>58</v>
      </c>
      <c r="G8" s="9">
        <f>VLOOKUP($A$4,zone_lu,4)</f>
        <v>58.866228829999997</v>
      </c>
      <c r="H8" s="10">
        <f>E8*G8</f>
        <v>1412.7894919199998</v>
      </c>
    </row>
    <row r="9" spans="1:15" x14ac:dyDescent="0.3">
      <c r="D9" t="s">
        <v>59</v>
      </c>
      <c r="E9">
        <v>6</v>
      </c>
      <c r="F9" s="41" t="s">
        <v>60</v>
      </c>
      <c r="G9" s="9">
        <v>500</v>
      </c>
      <c r="H9" s="10">
        <f t="shared" ref="H9:H38" si="0">E9*G9</f>
        <v>3000</v>
      </c>
    </row>
    <row r="10" spans="1:15" x14ac:dyDescent="0.3">
      <c r="E10" s="11"/>
      <c r="F10" s="42"/>
      <c r="G10" s="12"/>
      <c r="H10" s="13">
        <f>SUBTOTAL(9,H6:H9)</f>
        <v>4412.7894919199998</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6</v>
      </c>
      <c r="F14" s="41" t="s">
        <v>62</v>
      </c>
      <c r="G14" s="29">
        <v>1400</v>
      </c>
      <c r="H14" s="10">
        <f t="shared" si="0"/>
        <v>8400</v>
      </c>
    </row>
    <row r="15" spans="1:15" x14ac:dyDescent="0.3">
      <c r="D15" s="24" t="s">
        <v>142</v>
      </c>
      <c r="F15" s="41"/>
      <c r="G15" s="9"/>
      <c r="H15" s="10">
        <f t="shared" si="0"/>
        <v>0</v>
      </c>
    </row>
    <row r="16" spans="1:15" x14ac:dyDescent="0.3">
      <c r="D16" s="23" t="s">
        <v>64</v>
      </c>
      <c r="E16">
        <v>6</v>
      </c>
      <c r="F16" s="41" t="s">
        <v>60</v>
      </c>
      <c r="G16" s="9">
        <v>250</v>
      </c>
      <c r="H16" s="10">
        <f t="shared" si="0"/>
        <v>1500</v>
      </c>
    </row>
    <row r="17" spans="3:8" x14ac:dyDescent="0.3">
      <c r="D17" s="23" t="s">
        <v>54</v>
      </c>
      <c r="E17">
        <v>96</v>
      </c>
      <c r="F17" s="41" t="s">
        <v>58</v>
      </c>
      <c r="G17" s="9">
        <f>VLOOKUP($A$4,zone_lu,4)</f>
        <v>58.866228829999997</v>
      </c>
      <c r="H17" s="10">
        <f t="shared" si="0"/>
        <v>5651.1579676799993</v>
      </c>
    </row>
    <row r="18" spans="3:8" x14ac:dyDescent="0.3">
      <c r="C18" t="s">
        <v>52</v>
      </c>
      <c r="D18" s="23"/>
      <c r="F18" s="41"/>
      <c r="G18" s="9"/>
      <c r="H18" s="10">
        <f t="shared" si="0"/>
        <v>0</v>
      </c>
    </row>
    <row r="19" spans="3:8" x14ac:dyDescent="0.3">
      <c r="D19" s="23" t="s">
        <v>66</v>
      </c>
      <c r="E19">
        <v>6</v>
      </c>
      <c r="F19" s="41" t="s">
        <v>62</v>
      </c>
      <c r="G19" s="29">
        <v>3600</v>
      </c>
      <c r="H19" s="10">
        <f t="shared" si="0"/>
        <v>21600</v>
      </c>
    </row>
    <row r="20" spans="3:8" x14ac:dyDescent="0.3">
      <c r="D20" s="22" t="s">
        <v>76</v>
      </c>
      <c r="F20" s="41"/>
      <c r="G20" s="9"/>
      <c r="H20" s="10">
        <f t="shared" si="0"/>
        <v>0</v>
      </c>
    </row>
    <row r="21" spans="3:8" x14ac:dyDescent="0.3">
      <c r="D21" s="25" t="s">
        <v>68</v>
      </c>
      <c r="E21">
        <v>6</v>
      </c>
      <c r="F21" s="41" t="s">
        <v>62</v>
      </c>
      <c r="G21" s="9">
        <v>100</v>
      </c>
      <c r="H21" s="10">
        <f t="shared" si="0"/>
        <v>600</v>
      </c>
    </row>
    <row r="22" spans="3:8" x14ac:dyDescent="0.3">
      <c r="D22" s="15" t="s">
        <v>114</v>
      </c>
      <c r="E22">
        <v>600</v>
      </c>
      <c r="F22" s="41" t="s">
        <v>67</v>
      </c>
      <c r="G22" s="9">
        <v>4</v>
      </c>
      <c r="H22" s="10">
        <f t="shared" si="0"/>
        <v>2400</v>
      </c>
    </row>
    <row r="23" spans="3:8" x14ac:dyDescent="0.3">
      <c r="D23" t="s">
        <v>64</v>
      </c>
      <c r="E23">
        <v>6</v>
      </c>
      <c r="F23" s="41" t="s">
        <v>60</v>
      </c>
      <c r="G23" s="9">
        <v>400</v>
      </c>
      <c r="H23" s="10">
        <f t="shared" si="0"/>
        <v>2400</v>
      </c>
    </row>
    <row r="24" spans="3:8" x14ac:dyDescent="0.3">
      <c r="D24" t="s">
        <v>54</v>
      </c>
      <c r="E24">
        <f>4*16</f>
        <v>64</v>
      </c>
      <c r="F24" s="41" t="s">
        <v>58</v>
      </c>
      <c r="G24" s="9">
        <f>VLOOKUP($A$4,zone_lu,4)</f>
        <v>58.866228829999997</v>
      </c>
      <c r="H24" s="10">
        <f t="shared" si="0"/>
        <v>3767.4386451199998</v>
      </c>
    </row>
    <row r="25" spans="3:8" x14ac:dyDescent="0.3">
      <c r="C25" t="s">
        <v>106</v>
      </c>
      <c r="F25" s="41"/>
      <c r="G25" s="9"/>
      <c r="H25" s="10"/>
    </row>
    <row r="26" spans="3:8" x14ac:dyDescent="0.3">
      <c r="D26" t="s">
        <v>111</v>
      </c>
      <c r="E26">
        <v>6</v>
      </c>
      <c r="F26" s="41" t="s">
        <v>62</v>
      </c>
      <c r="G26" s="9">
        <v>400</v>
      </c>
      <c r="H26" s="10">
        <f t="shared" si="0"/>
        <v>2400</v>
      </c>
    </row>
    <row r="27" spans="3:8" x14ac:dyDescent="0.3">
      <c r="C27" t="s">
        <v>128</v>
      </c>
      <c r="F27" s="41"/>
      <c r="G27" s="9"/>
      <c r="H27" s="10"/>
    </row>
    <row r="28" spans="3:8" x14ac:dyDescent="0.3">
      <c r="D28" t="s">
        <v>129</v>
      </c>
      <c r="E28">
        <v>6</v>
      </c>
      <c r="F28" s="41" t="s">
        <v>62</v>
      </c>
      <c r="G28" s="9">
        <v>95</v>
      </c>
      <c r="H28" s="10">
        <f t="shared" si="0"/>
        <v>570</v>
      </c>
    </row>
    <row r="29" spans="3:8" x14ac:dyDescent="0.3">
      <c r="D29" t="s">
        <v>130</v>
      </c>
      <c r="F29" s="41"/>
      <c r="G29" s="9"/>
      <c r="H29" s="39" t="s">
        <v>112</v>
      </c>
    </row>
    <row r="30" spans="3:8" x14ac:dyDescent="0.3">
      <c r="D30" t="s">
        <v>131</v>
      </c>
      <c r="F30" s="41"/>
      <c r="G30" s="9"/>
      <c r="H30" s="39" t="s">
        <v>15</v>
      </c>
    </row>
    <row r="31" spans="3:8" x14ac:dyDescent="0.3">
      <c r="D31" t="s">
        <v>54</v>
      </c>
      <c r="E31">
        <v>32</v>
      </c>
      <c r="F31" s="41" t="s">
        <v>58</v>
      </c>
      <c r="G31" s="9">
        <f>VLOOKUP($A$4,zone_lu,4)</f>
        <v>58.866228829999997</v>
      </c>
      <c r="H31" s="10">
        <f t="shared" si="0"/>
        <v>1883.7193225599999</v>
      </c>
    </row>
    <row r="32" spans="3:8" x14ac:dyDescent="0.3">
      <c r="C32" t="s">
        <v>107</v>
      </c>
      <c r="F32" s="41"/>
      <c r="G32" s="9"/>
      <c r="H32" s="10">
        <f t="shared" si="0"/>
        <v>0</v>
      </c>
    </row>
    <row r="33" spans="2:9" x14ac:dyDescent="0.3">
      <c r="D33" t="s">
        <v>64</v>
      </c>
      <c r="E33">
        <v>6</v>
      </c>
      <c r="F33" s="41" t="s">
        <v>60</v>
      </c>
      <c r="G33" s="9">
        <v>250</v>
      </c>
      <c r="H33" s="10">
        <f t="shared" si="0"/>
        <v>1500</v>
      </c>
    </row>
    <row r="34" spans="2:9" x14ac:dyDescent="0.3">
      <c r="D34" t="s">
        <v>54</v>
      </c>
      <c r="E34">
        <v>24</v>
      </c>
      <c r="F34" s="41" t="s">
        <v>58</v>
      </c>
      <c r="G34" s="9">
        <f>VLOOKUP($A$4,zone_lu,4)</f>
        <v>58.866228829999997</v>
      </c>
      <c r="H34" s="10">
        <f t="shared" si="0"/>
        <v>1412.7894919199998</v>
      </c>
    </row>
    <row r="35" spans="2:9" x14ac:dyDescent="0.3">
      <c r="E35" s="11"/>
      <c r="F35" s="42"/>
      <c r="G35" s="12"/>
      <c r="H35" s="13">
        <f>SUBTOTAL(9,H12:H34)</f>
        <v>54085.105427279996</v>
      </c>
    </row>
    <row r="36" spans="2:9" x14ac:dyDescent="0.3">
      <c r="E36" s="16"/>
      <c r="F36" s="43"/>
      <c r="G36" s="17"/>
      <c r="H36" s="18"/>
    </row>
    <row r="37" spans="2:9" x14ac:dyDescent="0.3">
      <c r="B37" s="11"/>
      <c r="C37" s="11" t="s">
        <v>71</v>
      </c>
      <c r="D37" s="11"/>
      <c r="E37" s="11"/>
      <c r="F37" s="42"/>
      <c r="G37" s="12"/>
      <c r="H37" s="13">
        <f>SUBTOTAL(9,H6:H36)</f>
        <v>58497.894919199993</v>
      </c>
    </row>
    <row r="38" spans="2:9" x14ac:dyDescent="0.3">
      <c r="F38" s="41"/>
      <c r="G38" s="9"/>
      <c r="H38" s="10">
        <f t="shared" si="0"/>
        <v>0</v>
      </c>
    </row>
    <row r="39" spans="2:9" x14ac:dyDescent="0.3">
      <c r="B39" t="s">
        <v>104</v>
      </c>
      <c r="E39" s="47">
        <f>VLOOKUP($A$4,zone_lu,5)</f>
        <v>0.15</v>
      </c>
      <c r="F39" s="41"/>
      <c r="G39" s="9"/>
      <c r="H39" s="10">
        <f>ROUND(H37*E39,0)</f>
        <v>8775</v>
      </c>
      <c r="I39" s="10">
        <f>ROUND(I37*F39,0)</f>
        <v>0</v>
      </c>
    </row>
    <row r="40" spans="2:9" x14ac:dyDescent="0.3">
      <c r="E40" s="47"/>
      <c r="F40" s="41"/>
      <c r="G40" s="9"/>
      <c r="H40" s="10"/>
      <c r="I40" s="10"/>
    </row>
    <row r="41" spans="2:9" x14ac:dyDescent="0.3">
      <c r="B41" t="s">
        <v>103</v>
      </c>
      <c r="E41" s="47">
        <f>VLOOKUP($A$4,zone_lu,6)</f>
        <v>0.1</v>
      </c>
      <c r="F41" s="41"/>
      <c r="G41" s="9"/>
      <c r="H41" s="10">
        <f>ROUND(SUM(H37:H40)*E41,0)</f>
        <v>6727</v>
      </c>
      <c r="I41" s="10"/>
    </row>
    <row r="42" spans="2:9" x14ac:dyDescent="0.3">
      <c r="E42" s="47"/>
      <c r="F42" s="41"/>
      <c r="G42" s="9"/>
      <c r="H42" s="10"/>
      <c r="I42" s="10"/>
    </row>
    <row r="43" spans="2:9" x14ac:dyDescent="0.3">
      <c r="B43" t="s">
        <v>127</v>
      </c>
      <c r="E43" s="47">
        <f>VLOOKUP($A$4,zone_lu,7)</f>
        <v>1.2500000000000001E-2</v>
      </c>
      <c r="F43" s="41"/>
      <c r="G43" s="9"/>
      <c r="H43" s="10">
        <f>ROUND(SUM(H37:H42)*E43,0)</f>
        <v>925</v>
      </c>
      <c r="I43" s="10"/>
    </row>
    <row r="44" spans="2:9" x14ac:dyDescent="0.3">
      <c r="E44" s="47"/>
      <c r="F44" s="41"/>
      <c r="G44" s="9"/>
      <c r="H44" s="10"/>
      <c r="I44" s="10"/>
    </row>
    <row r="45" spans="2:9" x14ac:dyDescent="0.3">
      <c r="B45" t="s">
        <v>105</v>
      </c>
      <c r="E45" s="47">
        <f>VLOOKUP($A$4,zone_lu,8)</f>
        <v>0</v>
      </c>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74924.894919199985</v>
      </c>
    </row>
    <row r="49" ht="15" thickTop="1" x14ac:dyDescent="0.3"/>
  </sheetData>
  <mergeCells count="1">
    <mergeCell ref="A4:C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9"/>
  <dimension ref="A1:O49"/>
  <sheetViews>
    <sheetView showGridLines="0" topLeftCell="A6"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1" customWidth="1"/>
    <col min="7" max="7" width="8.88671875" style="9"/>
    <col min="8" max="8" width="9.109375" style="8" bestFit="1" customWidth="1"/>
  </cols>
  <sheetData>
    <row r="1" spans="1:15" x14ac:dyDescent="0.3">
      <c r="A1" t="s">
        <v>141</v>
      </c>
      <c r="O1" t="str">
        <f>A1&amp;": "&amp;A2</f>
        <v>Low Rise Multi-Family: 1990's</v>
      </c>
    </row>
    <row r="2" spans="1:15" x14ac:dyDescent="0.3">
      <c r="A2" t="s">
        <v>10</v>
      </c>
    </row>
    <row r="3" spans="1:15" x14ac:dyDescent="0.3">
      <c r="A3" t="s">
        <v>49</v>
      </c>
    </row>
    <row r="4" spans="1:15" ht="14.4" customHeight="1" x14ac:dyDescent="0.3">
      <c r="A4" s="88">
        <v>6</v>
      </c>
      <c r="B4" s="88"/>
      <c r="C4" s="88"/>
    </row>
    <row r="6" spans="1:15" x14ac:dyDescent="0.3">
      <c r="B6" t="s">
        <v>50</v>
      </c>
    </row>
    <row r="7" spans="1:15" x14ac:dyDescent="0.3">
      <c r="C7" t="s">
        <v>55</v>
      </c>
    </row>
    <row r="8" spans="1:15" x14ac:dyDescent="0.3">
      <c r="D8" t="s">
        <v>54</v>
      </c>
      <c r="E8">
        <v>24</v>
      </c>
      <c r="F8" s="41" t="s">
        <v>58</v>
      </c>
      <c r="G8" s="9">
        <f>VLOOKUP($A$4,zone_lu,4)</f>
        <v>58.866228829999997</v>
      </c>
      <c r="H8" s="10">
        <f>E8*G8</f>
        <v>1412.7894919199998</v>
      </c>
    </row>
    <row r="9" spans="1:15" x14ac:dyDescent="0.3">
      <c r="D9" t="s">
        <v>59</v>
      </c>
      <c r="E9">
        <v>6</v>
      </c>
      <c r="F9" s="41" t="s">
        <v>60</v>
      </c>
      <c r="G9" s="9">
        <v>500</v>
      </c>
      <c r="H9" s="10">
        <f t="shared" ref="H9:H49" si="0">E9*G9</f>
        <v>3000</v>
      </c>
    </row>
    <row r="10" spans="1:15" x14ac:dyDescent="0.3">
      <c r="E10" s="11"/>
      <c r="F10" s="42"/>
      <c r="G10" s="12"/>
      <c r="H10" s="13">
        <f>SUBTOTAL(9,H6:H9)</f>
        <v>4412.7894919199998</v>
      </c>
    </row>
    <row r="11" spans="1:15" x14ac:dyDescent="0.3">
      <c r="H11" s="10">
        <f t="shared" si="0"/>
        <v>0</v>
      </c>
    </row>
    <row r="12" spans="1:15" x14ac:dyDescent="0.3">
      <c r="B12" t="s">
        <v>51</v>
      </c>
      <c r="H12" s="10">
        <f t="shared" si="0"/>
        <v>0</v>
      </c>
    </row>
    <row r="13" spans="1:15" x14ac:dyDescent="0.3">
      <c r="C13" t="s">
        <v>53</v>
      </c>
      <c r="H13" s="10">
        <f t="shared" si="0"/>
        <v>0</v>
      </c>
    </row>
    <row r="14" spans="1:15" x14ac:dyDescent="0.3">
      <c r="D14" t="s">
        <v>61</v>
      </c>
      <c r="E14">
        <v>6</v>
      </c>
      <c r="F14" s="41" t="s">
        <v>62</v>
      </c>
      <c r="G14" s="29">
        <v>1200</v>
      </c>
      <c r="H14" s="10">
        <f t="shared" si="0"/>
        <v>7200</v>
      </c>
    </row>
    <row r="15" spans="1:15" x14ac:dyDescent="0.3">
      <c r="D15" s="24" t="s">
        <v>142</v>
      </c>
      <c r="H15" s="10">
        <f t="shared" si="0"/>
        <v>0</v>
      </c>
    </row>
    <row r="16" spans="1:15" x14ac:dyDescent="0.3">
      <c r="D16" s="23" t="s">
        <v>64</v>
      </c>
      <c r="E16">
        <v>6</v>
      </c>
      <c r="F16" s="41" t="s">
        <v>60</v>
      </c>
      <c r="G16" s="9">
        <v>250</v>
      </c>
      <c r="H16" s="10">
        <f t="shared" si="0"/>
        <v>1500</v>
      </c>
    </row>
    <row r="17" spans="3:8" x14ac:dyDescent="0.3">
      <c r="D17" s="23" t="s">
        <v>54</v>
      </c>
      <c r="E17">
        <v>96</v>
      </c>
      <c r="F17" s="41" t="s">
        <v>58</v>
      </c>
      <c r="G17" s="9">
        <f>VLOOKUP($A$4,zone_lu,4)</f>
        <v>58.866228829999997</v>
      </c>
      <c r="H17" s="10">
        <f t="shared" si="0"/>
        <v>5651.1579676799993</v>
      </c>
    </row>
    <row r="18" spans="3:8" x14ac:dyDescent="0.3">
      <c r="C18" t="s">
        <v>52</v>
      </c>
      <c r="D18" s="23"/>
      <c r="H18" s="10">
        <f t="shared" si="0"/>
        <v>0</v>
      </c>
    </row>
    <row r="19" spans="3:8" x14ac:dyDescent="0.3">
      <c r="D19" s="23" t="s">
        <v>66</v>
      </c>
      <c r="E19">
        <v>6</v>
      </c>
      <c r="F19" s="41" t="s">
        <v>62</v>
      </c>
      <c r="G19" s="29">
        <v>3400</v>
      </c>
      <c r="H19" s="10">
        <f t="shared" si="0"/>
        <v>20400</v>
      </c>
    </row>
    <row r="20" spans="3:8" x14ac:dyDescent="0.3">
      <c r="D20" s="22" t="s">
        <v>65</v>
      </c>
      <c r="H20" s="10">
        <f t="shared" si="0"/>
        <v>0</v>
      </c>
    </row>
    <row r="21" spans="3:8" x14ac:dyDescent="0.3">
      <c r="D21" s="15" t="s">
        <v>68</v>
      </c>
      <c r="E21">
        <v>6</v>
      </c>
      <c r="F21" s="41" t="s">
        <v>62</v>
      </c>
      <c r="G21" s="9">
        <v>100</v>
      </c>
      <c r="H21" s="10">
        <f t="shared" si="0"/>
        <v>600</v>
      </c>
    </row>
    <row r="22" spans="3:8" x14ac:dyDescent="0.3">
      <c r="D22" s="15" t="s">
        <v>114</v>
      </c>
      <c r="E22">
        <v>600</v>
      </c>
      <c r="F22" s="41" t="s">
        <v>67</v>
      </c>
      <c r="G22" s="9">
        <v>4</v>
      </c>
      <c r="H22" s="10">
        <f t="shared" si="0"/>
        <v>2400</v>
      </c>
    </row>
    <row r="23" spans="3:8" x14ac:dyDescent="0.3">
      <c r="D23" t="s">
        <v>64</v>
      </c>
      <c r="E23">
        <v>6</v>
      </c>
      <c r="F23" s="41" t="s">
        <v>60</v>
      </c>
      <c r="G23" s="9">
        <v>400</v>
      </c>
      <c r="H23" s="10">
        <f t="shared" si="0"/>
        <v>2400</v>
      </c>
    </row>
    <row r="24" spans="3:8" x14ac:dyDescent="0.3">
      <c r="D24" t="s">
        <v>54</v>
      </c>
      <c r="E24">
        <f>4*16</f>
        <v>64</v>
      </c>
      <c r="F24" s="41" t="s">
        <v>58</v>
      </c>
      <c r="G24" s="9">
        <f>VLOOKUP($A$4,zone_lu,4)</f>
        <v>58.866228829999997</v>
      </c>
      <c r="H24" s="10">
        <f t="shared" si="0"/>
        <v>3767.4386451199998</v>
      </c>
    </row>
    <row r="25" spans="3:8" x14ac:dyDescent="0.3">
      <c r="C25" t="s">
        <v>106</v>
      </c>
      <c r="H25" s="10"/>
    </row>
    <row r="26" spans="3:8" x14ac:dyDescent="0.3">
      <c r="D26" t="s">
        <v>111</v>
      </c>
      <c r="E26">
        <v>6</v>
      </c>
      <c r="F26" s="41" t="s">
        <v>62</v>
      </c>
      <c r="G26" s="9">
        <v>400</v>
      </c>
      <c r="H26" s="10">
        <f t="shared" si="0"/>
        <v>2400</v>
      </c>
    </row>
    <row r="27" spans="3:8" x14ac:dyDescent="0.3">
      <c r="C27" t="s">
        <v>128</v>
      </c>
      <c r="H27" s="10"/>
    </row>
    <row r="28" spans="3:8" x14ac:dyDescent="0.3">
      <c r="D28" t="s">
        <v>129</v>
      </c>
      <c r="E28">
        <v>6</v>
      </c>
      <c r="F28" s="41" t="s">
        <v>62</v>
      </c>
      <c r="G28" s="9">
        <v>95</v>
      </c>
      <c r="H28" s="10">
        <f t="shared" si="0"/>
        <v>570</v>
      </c>
    </row>
    <row r="29" spans="3:8" x14ac:dyDescent="0.3">
      <c r="D29" t="s">
        <v>130</v>
      </c>
      <c r="H29" s="39" t="s">
        <v>112</v>
      </c>
    </row>
    <row r="30" spans="3:8" x14ac:dyDescent="0.3">
      <c r="D30" t="s">
        <v>131</v>
      </c>
      <c r="H30" s="39" t="s">
        <v>15</v>
      </c>
    </row>
    <row r="31" spans="3:8" x14ac:dyDescent="0.3">
      <c r="D31" t="s">
        <v>54</v>
      </c>
      <c r="E31">
        <v>32</v>
      </c>
      <c r="F31" s="41" t="s">
        <v>58</v>
      </c>
      <c r="G31" s="9">
        <f>VLOOKUP($A$4,zone_lu,4)</f>
        <v>58.866228829999997</v>
      </c>
      <c r="H31" s="10">
        <f t="shared" si="0"/>
        <v>1883.7193225599999</v>
      </c>
    </row>
    <row r="32" spans="3:8" x14ac:dyDescent="0.3">
      <c r="C32" t="s">
        <v>107</v>
      </c>
      <c r="H32" s="10">
        <f t="shared" si="0"/>
        <v>0</v>
      </c>
    </row>
    <row r="33" spans="2:9" x14ac:dyDescent="0.3">
      <c r="D33" t="s">
        <v>64</v>
      </c>
      <c r="E33">
        <v>6</v>
      </c>
      <c r="F33" s="41" t="s">
        <v>60</v>
      </c>
      <c r="G33" s="9">
        <v>250</v>
      </c>
      <c r="H33" s="10">
        <f t="shared" si="0"/>
        <v>1500</v>
      </c>
    </row>
    <row r="34" spans="2:9" x14ac:dyDescent="0.3">
      <c r="D34" t="s">
        <v>54</v>
      </c>
      <c r="E34">
        <v>24</v>
      </c>
      <c r="F34" s="41" t="s">
        <v>58</v>
      </c>
      <c r="G34" s="9">
        <f>VLOOKUP($A$4,zone_lu,4)</f>
        <v>58.866228829999997</v>
      </c>
      <c r="H34" s="10">
        <f t="shared" si="0"/>
        <v>1412.7894919199998</v>
      </c>
    </row>
    <row r="35" spans="2:9" x14ac:dyDescent="0.3">
      <c r="E35" s="11"/>
      <c r="F35" s="42"/>
      <c r="G35" s="12"/>
      <c r="H35" s="13">
        <f>SUBTOTAL(9,H12:H34)</f>
        <v>51685.105427279996</v>
      </c>
    </row>
    <row r="36" spans="2:9" x14ac:dyDescent="0.3">
      <c r="E36" s="16"/>
      <c r="F36" s="43"/>
      <c r="G36" s="17"/>
      <c r="H36" s="18"/>
    </row>
    <row r="37" spans="2:9" x14ac:dyDescent="0.3">
      <c r="B37" s="11"/>
      <c r="C37" s="11" t="s">
        <v>71</v>
      </c>
      <c r="D37" s="11"/>
      <c r="E37" s="11"/>
      <c r="F37" s="42"/>
      <c r="G37" s="12"/>
      <c r="H37" s="13">
        <f>SUBTOTAL(9,H6:H36)</f>
        <v>56097.894919199993</v>
      </c>
    </row>
    <row r="38" spans="2:9" x14ac:dyDescent="0.3">
      <c r="H38" s="10">
        <f t="shared" si="0"/>
        <v>0</v>
      </c>
    </row>
    <row r="39" spans="2:9" x14ac:dyDescent="0.3">
      <c r="B39" t="s">
        <v>104</v>
      </c>
      <c r="E39" s="47">
        <f>VLOOKUP($A$4,zone_lu,5)</f>
        <v>0.15</v>
      </c>
      <c r="H39" s="10">
        <f>ROUND(H37*E39,0)</f>
        <v>8415</v>
      </c>
      <c r="I39" s="10">
        <f>ROUND(I37*F39,0)</f>
        <v>0</v>
      </c>
    </row>
    <row r="40" spans="2:9" x14ac:dyDescent="0.3">
      <c r="E40" s="47"/>
      <c r="H40" s="10"/>
      <c r="I40" s="10"/>
    </row>
    <row r="41" spans="2:9" x14ac:dyDescent="0.3">
      <c r="B41" t="s">
        <v>103</v>
      </c>
      <c r="E41" s="47">
        <f>VLOOKUP($A$4,zone_lu,6)</f>
        <v>0.1</v>
      </c>
      <c r="H41" s="10">
        <f>ROUND(SUM(H37:H40)*E41,0)</f>
        <v>6451</v>
      </c>
      <c r="I41" s="10"/>
    </row>
    <row r="42" spans="2:9" x14ac:dyDescent="0.3">
      <c r="E42" s="47"/>
      <c r="H42" s="10"/>
      <c r="I42" s="10"/>
    </row>
    <row r="43" spans="2:9" x14ac:dyDescent="0.3">
      <c r="B43" t="s">
        <v>127</v>
      </c>
      <c r="E43" s="47">
        <f>VLOOKUP($A$4,zone_lu,7)</f>
        <v>1.2500000000000001E-2</v>
      </c>
      <c r="H43" s="10">
        <f>ROUND(SUM(H37:H42)*E43,0)</f>
        <v>887</v>
      </c>
      <c r="I43" s="10"/>
    </row>
    <row r="44" spans="2:9" x14ac:dyDescent="0.3">
      <c r="E44" s="47"/>
      <c r="H44" s="10"/>
      <c r="I44" s="10"/>
    </row>
    <row r="45" spans="2:9" x14ac:dyDescent="0.3">
      <c r="B45" t="s">
        <v>105</v>
      </c>
      <c r="E45" s="47">
        <f>VLOOKUP($A$4,zone_lu,8)</f>
        <v>0</v>
      </c>
      <c r="H45" s="10">
        <f>ROUND(SUM(H37:H44)*E45,0)</f>
        <v>0</v>
      </c>
      <c r="I45" s="10"/>
    </row>
    <row r="46" spans="2:9" x14ac:dyDescent="0.3">
      <c r="E46" s="19"/>
      <c r="H46" s="10"/>
    </row>
    <row r="47" spans="2:9" x14ac:dyDescent="0.3">
      <c r="H47" s="10">
        <f t="shared" si="0"/>
        <v>0</v>
      </c>
    </row>
    <row r="48" spans="2:9" ht="15" thickBot="1" x14ac:dyDescent="0.35">
      <c r="B48" s="33" t="s">
        <v>72</v>
      </c>
      <c r="C48" s="33"/>
      <c r="D48" s="33"/>
      <c r="E48" s="33"/>
      <c r="F48" s="45"/>
      <c r="G48" s="35"/>
      <c r="H48" s="34">
        <f>SUBTOTAL(9,H6:H47)</f>
        <v>71850.894919199985</v>
      </c>
    </row>
    <row r="49" spans="8:8" ht="15" thickTop="1" x14ac:dyDescent="0.3">
      <c r="H49" s="10">
        <f t="shared" si="0"/>
        <v>0</v>
      </c>
    </row>
  </sheetData>
  <mergeCells count="1">
    <mergeCell ref="A4:C4"/>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21"/>
  <dimension ref="A1:O49"/>
  <sheetViews>
    <sheetView showGridLines="0" topLeftCell="A6"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1990's</v>
      </c>
    </row>
    <row r="2" spans="1:15" x14ac:dyDescent="0.3">
      <c r="A2" t="s">
        <v>10</v>
      </c>
    </row>
    <row r="3" spans="1:15" x14ac:dyDescent="0.3">
      <c r="A3" t="s">
        <v>49</v>
      </c>
    </row>
    <row r="4" spans="1:15" ht="14.4" customHeight="1" x14ac:dyDescent="0.3">
      <c r="A4" s="88">
        <v>9</v>
      </c>
      <c r="B4" s="88"/>
      <c r="C4" s="88"/>
    </row>
    <row r="6" spans="1:15" x14ac:dyDescent="0.3">
      <c r="B6" t="s">
        <v>50</v>
      </c>
      <c r="F6" s="41"/>
      <c r="G6" s="9"/>
      <c r="H6" s="8"/>
    </row>
    <row r="7" spans="1:15" x14ac:dyDescent="0.3">
      <c r="C7" t="s">
        <v>55</v>
      </c>
      <c r="F7" s="41"/>
      <c r="G7" s="9"/>
      <c r="H7" s="8"/>
    </row>
    <row r="8" spans="1:15" x14ac:dyDescent="0.3">
      <c r="D8" t="s">
        <v>54</v>
      </c>
      <c r="E8">
        <v>24</v>
      </c>
      <c r="F8" s="41" t="s">
        <v>58</v>
      </c>
      <c r="G8" s="9">
        <f>VLOOKUP($A$4,zone_lu,4)</f>
        <v>58.866228829999997</v>
      </c>
      <c r="H8" s="10">
        <f>E8*G8</f>
        <v>1412.7894919199998</v>
      </c>
    </row>
    <row r="9" spans="1:15" x14ac:dyDescent="0.3">
      <c r="D9" t="s">
        <v>59</v>
      </c>
      <c r="E9">
        <v>6</v>
      </c>
      <c r="F9" s="41" t="s">
        <v>60</v>
      </c>
      <c r="G9" s="9">
        <v>500</v>
      </c>
      <c r="H9" s="10">
        <f t="shared" ref="H9:H38" si="0">E9*G9</f>
        <v>3000</v>
      </c>
    </row>
    <row r="10" spans="1:15" x14ac:dyDescent="0.3">
      <c r="E10" s="11"/>
      <c r="F10" s="42"/>
      <c r="G10" s="12"/>
      <c r="H10" s="13">
        <f>SUBTOTAL(9,H6:H9)</f>
        <v>4412.7894919199998</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6</v>
      </c>
      <c r="F14" s="41" t="s">
        <v>62</v>
      </c>
      <c r="G14" s="29">
        <v>1400</v>
      </c>
      <c r="H14" s="10">
        <f t="shared" si="0"/>
        <v>8400</v>
      </c>
    </row>
    <row r="15" spans="1:15" x14ac:dyDescent="0.3">
      <c r="D15" s="24" t="s">
        <v>142</v>
      </c>
      <c r="F15" s="41"/>
      <c r="G15" s="9"/>
      <c r="H15" s="10">
        <f t="shared" si="0"/>
        <v>0</v>
      </c>
    </row>
    <row r="16" spans="1:15" x14ac:dyDescent="0.3">
      <c r="D16" s="23" t="s">
        <v>64</v>
      </c>
      <c r="E16">
        <v>6</v>
      </c>
      <c r="F16" s="41" t="s">
        <v>60</v>
      </c>
      <c r="G16" s="9">
        <v>250</v>
      </c>
      <c r="H16" s="10">
        <f t="shared" si="0"/>
        <v>1500</v>
      </c>
    </row>
    <row r="17" spans="3:8" x14ac:dyDescent="0.3">
      <c r="D17" s="23" t="s">
        <v>54</v>
      </c>
      <c r="E17">
        <v>96</v>
      </c>
      <c r="F17" s="41" t="s">
        <v>58</v>
      </c>
      <c r="G17" s="9">
        <f>VLOOKUP($A$4,zone_lu,4)</f>
        <v>58.866228829999997</v>
      </c>
      <c r="H17" s="10">
        <f t="shared" si="0"/>
        <v>5651.1579676799993</v>
      </c>
    </row>
    <row r="18" spans="3:8" x14ac:dyDescent="0.3">
      <c r="C18" t="s">
        <v>52</v>
      </c>
      <c r="D18" s="23"/>
      <c r="F18" s="41"/>
      <c r="G18" s="9"/>
      <c r="H18" s="10">
        <f t="shared" si="0"/>
        <v>0</v>
      </c>
    </row>
    <row r="19" spans="3:8" x14ac:dyDescent="0.3">
      <c r="D19" s="23" t="s">
        <v>66</v>
      </c>
      <c r="E19">
        <v>6</v>
      </c>
      <c r="F19" s="41" t="s">
        <v>62</v>
      </c>
      <c r="G19" s="29">
        <v>3600</v>
      </c>
      <c r="H19" s="10">
        <f t="shared" si="0"/>
        <v>21600</v>
      </c>
    </row>
    <row r="20" spans="3:8" x14ac:dyDescent="0.3">
      <c r="D20" s="22" t="s">
        <v>76</v>
      </c>
      <c r="F20" s="41"/>
      <c r="G20" s="9"/>
      <c r="H20" s="10">
        <f t="shared" si="0"/>
        <v>0</v>
      </c>
    </row>
    <row r="21" spans="3:8" x14ac:dyDescent="0.3">
      <c r="D21" s="15" t="s">
        <v>68</v>
      </c>
      <c r="E21">
        <v>6</v>
      </c>
      <c r="F21" s="41" t="s">
        <v>62</v>
      </c>
      <c r="G21" s="9">
        <v>100</v>
      </c>
      <c r="H21" s="10">
        <f t="shared" si="0"/>
        <v>600</v>
      </c>
    </row>
    <row r="22" spans="3:8" x14ac:dyDescent="0.3">
      <c r="D22" s="15" t="s">
        <v>114</v>
      </c>
      <c r="E22">
        <v>600</v>
      </c>
      <c r="F22" s="41" t="s">
        <v>67</v>
      </c>
      <c r="G22" s="9">
        <v>4</v>
      </c>
      <c r="H22" s="10">
        <f t="shared" si="0"/>
        <v>2400</v>
      </c>
    </row>
    <row r="23" spans="3:8" x14ac:dyDescent="0.3">
      <c r="D23" t="s">
        <v>64</v>
      </c>
      <c r="E23">
        <v>6</v>
      </c>
      <c r="F23" s="41" t="s">
        <v>60</v>
      </c>
      <c r="G23" s="9">
        <v>400</v>
      </c>
      <c r="H23" s="10">
        <f t="shared" si="0"/>
        <v>2400</v>
      </c>
    </row>
    <row r="24" spans="3:8" x14ac:dyDescent="0.3">
      <c r="D24" t="s">
        <v>54</v>
      </c>
      <c r="E24">
        <f>4*16</f>
        <v>64</v>
      </c>
      <c r="F24" s="41" t="s">
        <v>58</v>
      </c>
      <c r="G24" s="9">
        <f>VLOOKUP($A$4,zone_lu,4)</f>
        <v>58.866228829999997</v>
      </c>
      <c r="H24" s="10">
        <f t="shared" si="0"/>
        <v>3767.4386451199998</v>
      </c>
    </row>
    <row r="25" spans="3:8" x14ac:dyDescent="0.3">
      <c r="C25" t="s">
        <v>106</v>
      </c>
      <c r="F25" s="41"/>
      <c r="G25" s="9"/>
      <c r="H25" s="10"/>
    </row>
    <row r="26" spans="3:8" x14ac:dyDescent="0.3">
      <c r="D26" t="s">
        <v>111</v>
      </c>
      <c r="E26">
        <v>6</v>
      </c>
      <c r="F26" s="41" t="s">
        <v>62</v>
      </c>
      <c r="G26" s="9">
        <v>400</v>
      </c>
      <c r="H26" s="10">
        <f t="shared" si="0"/>
        <v>2400</v>
      </c>
    </row>
    <row r="27" spans="3:8" x14ac:dyDescent="0.3">
      <c r="C27" t="s">
        <v>128</v>
      </c>
      <c r="F27" s="41"/>
      <c r="G27" s="9"/>
      <c r="H27" s="10"/>
    </row>
    <row r="28" spans="3:8" x14ac:dyDescent="0.3">
      <c r="D28" t="s">
        <v>129</v>
      </c>
      <c r="E28">
        <v>6</v>
      </c>
      <c r="F28" s="41" t="s">
        <v>62</v>
      </c>
      <c r="G28" s="9">
        <v>95</v>
      </c>
      <c r="H28" s="10">
        <f t="shared" si="0"/>
        <v>570</v>
      </c>
    </row>
    <row r="29" spans="3:8" x14ac:dyDescent="0.3">
      <c r="D29" t="s">
        <v>130</v>
      </c>
      <c r="F29" s="41"/>
      <c r="G29" s="9"/>
      <c r="H29" s="39" t="s">
        <v>112</v>
      </c>
    </row>
    <row r="30" spans="3:8" x14ac:dyDescent="0.3">
      <c r="D30" t="s">
        <v>131</v>
      </c>
      <c r="F30" s="41"/>
      <c r="G30" s="9"/>
      <c r="H30" s="39" t="s">
        <v>15</v>
      </c>
    </row>
    <row r="31" spans="3:8" x14ac:dyDescent="0.3">
      <c r="D31" t="s">
        <v>54</v>
      </c>
      <c r="E31">
        <v>32</v>
      </c>
      <c r="F31" s="41" t="s">
        <v>58</v>
      </c>
      <c r="G31" s="9">
        <f>VLOOKUP($A$4,zone_lu,4)</f>
        <v>58.866228829999997</v>
      </c>
      <c r="H31" s="10">
        <f t="shared" si="0"/>
        <v>1883.7193225599999</v>
      </c>
    </row>
    <row r="32" spans="3:8" x14ac:dyDescent="0.3">
      <c r="C32" t="s">
        <v>107</v>
      </c>
      <c r="F32" s="41"/>
      <c r="G32" s="9"/>
      <c r="H32" s="10">
        <f t="shared" si="0"/>
        <v>0</v>
      </c>
    </row>
    <row r="33" spans="2:9" x14ac:dyDescent="0.3">
      <c r="D33" t="s">
        <v>64</v>
      </c>
      <c r="E33">
        <v>6</v>
      </c>
      <c r="F33" s="41" t="s">
        <v>60</v>
      </c>
      <c r="G33" s="9">
        <v>250</v>
      </c>
      <c r="H33" s="10">
        <f t="shared" si="0"/>
        <v>1500</v>
      </c>
    </row>
    <row r="34" spans="2:9" x14ac:dyDescent="0.3">
      <c r="D34" t="s">
        <v>54</v>
      </c>
      <c r="E34">
        <v>24</v>
      </c>
      <c r="F34" s="41" t="s">
        <v>58</v>
      </c>
      <c r="G34" s="9">
        <f>VLOOKUP($A$4,zone_lu,4)</f>
        <v>58.866228829999997</v>
      </c>
      <c r="H34" s="10">
        <f t="shared" si="0"/>
        <v>1412.7894919199998</v>
      </c>
    </row>
    <row r="35" spans="2:9" x14ac:dyDescent="0.3">
      <c r="E35" s="11"/>
      <c r="F35" s="42"/>
      <c r="G35" s="12"/>
      <c r="H35" s="13">
        <f>SUBTOTAL(9,H12:H34)</f>
        <v>54085.105427279996</v>
      </c>
    </row>
    <row r="36" spans="2:9" x14ac:dyDescent="0.3">
      <c r="E36" s="16"/>
      <c r="F36" s="43"/>
      <c r="G36" s="17"/>
      <c r="H36" s="18"/>
    </row>
    <row r="37" spans="2:9" x14ac:dyDescent="0.3">
      <c r="B37" s="11"/>
      <c r="C37" s="11" t="s">
        <v>71</v>
      </c>
      <c r="D37" s="11"/>
      <c r="E37" s="11"/>
      <c r="F37" s="42"/>
      <c r="G37" s="12"/>
      <c r="H37" s="13">
        <f>SUBTOTAL(9,H6:H36)</f>
        <v>58497.894919199993</v>
      </c>
    </row>
    <row r="38" spans="2:9" x14ac:dyDescent="0.3">
      <c r="F38" s="41"/>
      <c r="G38" s="9"/>
      <c r="H38" s="10">
        <f t="shared" si="0"/>
        <v>0</v>
      </c>
    </row>
    <row r="39" spans="2:9" x14ac:dyDescent="0.3">
      <c r="B39" t="s">
        <v>104</v>
      </c>
      <c r="E39" s="47">
        <f>VLOOKUP($A$4,zone_lu,5)</f>
        <v>0.15</v>
      </c>
      <c r="F39" s="41"/>
      <c r="G39" s="9"/>
      <c r="H39" s="10">
        <f>ROUND(H37*E39,0)</f>
        <v>8775</v>
      </c>
      <c r="I39" s="10">
        <f>ROUND(I37*F39,0)</f>
        <v>0</v>
      </c>
    </row>
    <row r="40" spans="2:9" x14ac:dyDescent="0.3">
      <c r="E40" s="47"/>
      <c r="F40" s="41"/>
      <c r="G40" s="9"/>
      <c r="H40" s="10"/>
      <c r="I40" s="10"/>
    </row>
    <row r="41" spans="2:9" x14ac:dyDescent="0.3">
      <c r="B41" t="s">
        <v>103</v>
      </c>
      <c r="E41" s="47">
        <f>VLOOKUP($A$4,zone_lu,6)</f>
        <v>0.1</v>
      </c>
      <c r="F41" s="41"/>
      <c r="G41" s="9"/>
      <c r="H41" s="10">
        <f>ROUND(SUM(H37:H40)*E41,0)</f>
        <v>6727</v>
      </c>
      <c r="I41" s="10"/>
    </row>
    <row r="42" spans="2:9" x14ac:dyDescent="0.3">
      <c r="E42" s="47"/>
      <c r="F42" s="41"/>
      <c r="G42" s="9"/>
      <c r="H42" s="10"/>
      <c r="I42" s="10"/>
    </row>
    <row r="43" spans="2:9" x14ac:dyDescent="0.3">
      <c r="B43" t="s">
        <v>127</v>
      </c>
      <c r="E43" s="47">
        <f>VLOOKUP($A$4,zone_lu,7)</f>
        <v>1.2500000000000001E-2</v>
      </c>
      <c r="F43" s="41"/>
      <c r="G43" s="9"/>
      <c r="H43" s="10">
        <f>ROUND(SUM(H37:H42)*E43,0)</f>
        <v>925</v>
      </c>
      <c r="I43" s="10"/>
    </row>
    <row r="44" spans="2:9" x14ac:dyDescent="0.3">
      <c r="E44" s="47"/>
      <c r="F44" s="41"/>
      <c r="G44" s="9"/>
      <c r="H44" s="10"/>
      <c r="I44" s="10"/>
    </row>
    <row r="45" spans="2:9" x14ac:dyDescent="0.3">
      <c r="B45" t="s">
        <v>105</v>
      </c>
      <c r="E45" s="47">
        <f>VLOOKUP($A$4,zone_lu,8)</f>
        <v>0</v>
      </c>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74924.894919199985</v>
      </c>
    </row>
    <row r="49" ht="15" thickTop="1" x14ac:dyDescent="0.3"/>
  </sheetData>
  <mergeCells count="1">
    <mergeCell ref="A4:C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23"/>
  <dimension ref="A1:O49"/>
  <sheetViews>
    <sheetView showGridLines="0" topLeftCell="A6"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1990's</v>
      </c>
    </row>
    <row r="2" spans="1:15" x14ac:dyDescent="0.3">
      <c r="A2" t="s">
        <v>10</v>
      </c>
    </row>
    <row r="3" spans="1:15" x14ac:dyDescent="0.3">
      <c r="A3" t="s">
        <v>49</v>
      </c>
    </row>
    <row r="4" spans="1:15" ht="14.4" customHeight="1" x14ac:dyDescent="0.3">
      <c r="A4" s="88">
        <v>10</v>
      </c>
      <c r="B4" s="88"/>
      <c r="C4" s="88"/>
    </row>
    <row r="6" spans="1:15" x14ac:dyDescent="0.3">
      <c r="B6" t="s">
        <v>50</v>
      </c>
      <c r="F6" s="41"/>
      <c r="G6" s="9"/>
      <c r="H6" s="8"/>
    </row>
    <row r="7" spans="1:15" x14ac:dyDescent="0.3">
      <c r="C7" t="s">
        <v>55</v>
      </c>
      <c r="F7" s="41"/>
      <c r="G7" s="9"/>
      <c r="H7" s="8"/>
    </row>
    <row r="8" spans="1:15" x14ac:dyDescent="0.3">
      <c r="D8" t="s">
        <v>54</v>
      </c>
      <c r="E8">
        <v>24</v>
      </c>
      <c r="F8" s="41" t="s">
        <v>58</v>
      </c>
      <c r="G8" s="9">
        <f>VLOOKUP($A$4,zone_lu,4)</f>
        <v>58.866228829999997</v>
      </c>
      <c r="H8" s="10">
        <f>E8*G8</f>
        <v>1412.7894919199998</v>
      </c>
    </row>
    <row r="9" spans="1:15" x14ac:dyDescent="0.3">
      <c r="D9" t="s">
        <v>59</v>
      </c>
      <c r="E9">
        <v>6</v>
      </c>
      <c r="F9" s="41" t="s">
        <v>60</v>
      </c>
      <c r="G9" s="9">
        <v>500</v>
      </c>
      <c r="H9" s="10">
        <f t="shared" ref="H9:H38" si="0">E9*G9</f>
        <v>3000</v>
      </c>
    </row>
    <row r="10" spans="1:15" x14ac:dyDescent="0.3">
      <c r="E10" s="11"/>
      <c r="F10" s="42"/>
      <c r="G10" s="12"/>
      <c r="H10" s="13">
        <f>SUBTOTAL(9,H6:H9)</f>
        <v>4412.7894919199998</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6</v>
      </c>
      <c r="F14" s="41" t="s">
        <v>62</v>
      </c>
      <c r="G14" s="29">
        <v>1800</v>
      </c>
      <c r="H14" s="10">
        <f t="shared" si="0"/>
        <v>10800</v>
      </c>
    </row>
    <row r="15" spans="1:15" x14ac:dyDescent="0.3">
      <c r="D15" s="24" t="s">
        <v>142</v>
      </c>
      <c r="F15" s="41"/>
      <c r="G15" s="9"/>
      <c r="H15" s="10">
        <f t="shared" si="0"/>
        <v>0</v>
      </c>
    </row>
    <row r="16" spans="1:15" x14ac:dyDescent="0.3">
      <c r="D16" s="23" t="s">
        <v>64</v>
      </c>
      <c r="E16">
        <v>6</v>
      </c>
      <c r="F16" s="41" t="s">
        <v>60</v>
      </c>
      <c r="G16" s="9">
        <v>250</v>
      </c>
      <c r="H16" s="10">
        <f t="shared" si="0"/>
        <v>1500</v>
      </c>
    </row>
    <row r="17" spans="3:8" x14ac:dyDescent="0.3">
      <c r="D17" s="23" t="s">
        <v>54</v>
      </c>
      <c r="E17">
        <v>96</v>
      </c>
      <c r="F17" s="41" t="s">
        <v>58</v>
      </c>
      <c r="G17" s="9">
        <f>VLOOKUP($A$4,zone_lu,4)</f>
        <v>58.866228829999997</v>
      </c>
      <c r="H17" s="10">
        <f t="shared" si="0"/>
        <v>5651.1579676799993</v>
      </c>
    </row>
    <row r="18" spans="3:8" x14ac:dyDescent="0.3">
      <c r="C18" t="s">
        <v>52</v>
      </c>
      <c r="D18" s="23"/>
      <c r="F18" s="41"/>
      <c r="G18" s="9"/>
      <c r="H18" s="10">
        <f t="shared" si="0"/>
        <v>0</v>
      </c>
    </row>
    <row r="19" spans="3:8" x14ac:dyDescent="0.3">
      <c r="D19" s="23" t="s">
        <v>66</v>
      </c>
      <c r="E19">
        <v>6</v>
      </c>
      <c r="F19" s="41" t="s">
        <v>62</v>
      </c>
      <c r="G19" s="29">
        <v>4800</v>
      </c>
      <c r="H19" s="10">
        <f t="shared" si="0"/>
        <v>28800</v>
      </c>
    </row>
    <row r="20" spans="3:8" x14ac:dyDescent="0.3">
      <c r="D20" s="22" t="s">
        <v>77</v>
      </c>
      <c r="F20" s="41"/>
      <c r="G20" s="9"/>
      <c r="H20" s="10">
        <f t="shared" si="0"/>
        <v>0</v>
      </c>
    </row>
    <row r="21" spans="3:8" x14ac:dyDescent="0.3">
      <c r="D21" s="15" t="s">
        <v>68</v>
      </c>
      <c r="E21">
        <v>6</v>
      </c>
      <c r="F21" s="41" t="s">
        <v>62</v>
      </c>
      <c r="G21" s="9">
        <v>100</v>
      </c>
      <c r="H21" s="10">
        <f t="shared" si="0"/>
        <v>600</v>
      </c>
    </row>
    <row r="22" spans="3:8" x14ac:dyDescent="0.3">
      <c r="D22" s="15" t="s">
        <v>114</v>
      </c>
      <c r="E22">
        <v>600</v>
      </c>
      <c r="F22" s="41" t="s">
        <v>67</v>
      </c>
      <c r="G22" s="9">
        <v>4</v>
      </c>
      <c r="H22" s="10">
        <f t="shared" si="0"/>
        <v>2400</v>
      </c>
    </row>
    <row r="23" spans="3:8" x14ac:dyDescent="0.3">
      <c r="D23" t="s">
        <v>64</v>
      </c>
      <c r="E23">
        <v>6</v>
      </c>
      <c r="F23" s="41" t="s">
        <v>60</v>
      </c>
      <c r="G23" s="9">
        <v>400</v>
      </c>
      <c r="H23" s="10">
        <f t="shared" si="0"/>
        <v>2400</v>
      </c>
    </row>
    <row r="24" spans="3:8" x14ac:dyDescent="0.3">
      <c r="D24" t="s">
        <v>54</v>
      </c>
      <c r="E24">
        <f>4*16</f>
        <v>64</v>
      </c>
      <c r="F24" s="41" t="s">
        <v>58</v>
      </c>
      <c r="G24" s="9">
        <f>VLOOKUP($A$4,zone_lu,4)</f>
        <v>58.866228829999997</v>
      </c>
      <c r="H24" s="10">
        <f t="shared" si="0"/>
        <v>3767.4386451199998</v>
      </c>
    </row>
    <row r="25" spans="3:8" x14ac:dyDescent="0.3">
      <c r="C25" t="s">
        <v>106</v>
      </c>
      <c r="F25" s="41"/>
      <c r="G25" s="9"/>
      <c r="H25" s="10"/>
    </row>
    <row r="26" spans="3:8" x14ac:dyDescent="0.3">
      <c r="D26" t="s">
        <v>111</v>
      </c>
      <c r="E26">
        <v>6</v>
      </c>
      <c r="F26" s="41" t="s">
        <v>62</v>
      </c>
      <c r="G26" s="9">
        <v>400</v>
      </c>
      <c r="H26" s="10">
        <f t="shared" si="0"/>
        <v>2400</v>
      </c>
    </row>
    <row r="27" spans="3:8" x14ac:dyDescent="0.3">
      <c r="C27" t="s">
        <v>128</v>
      </c>
      <c r="F27" s="41"/>
      <c r="G27" s="9"/>
      <c r="H27" s="10"/>
    </row>
    <row r="28" spans="3:8" x14ac:dyDescent="0.3">
      <c r="D28" t="s">
        <v>129</v>
      </c>
      <c r="E28">
        <v>6</v>
      </c>
      <c r="F28" s="41" t="s">
        <v>62</v>
      </c>
      <c r="G28" s="9">
        <v>95</v>
      </c>
      <c r="H28" s="10">
        <f t="shared" si="0"/>
        <v>570</v>
      </c>
    </row>
    <row r="29" spans="3:8" x14ac:dyDescent="0.3">
      <c r="D29" t="s">
        <v>130</v>
      </c>
      <c r="F29" s="41"/>
      <c r="G29" s="9"/>
      <c r="H29" s="39" t="s">
        <v>112</v>
      </c>
    </row>
    <row r="30" spans="3:8" x14ac:dyDescent="0.3">
      <c r="D30" t="s">
        <v>131</v>
      </c>
      <c r="F30" s="41"/>
      <c r="G30" s="9"/>
      <c r="H30" s="39" t="s">
        <v>15</v>
      </c>
    </row>
    <row r="31" spans="3:8" x14ac:dyDescent="0.3">
      <c r="D31" t="s">
        <v>54</v>
      </c>
      <c r="E31">
        <v>32</v>
      </c>
      <c r="F31" s="41" t="s">
        <v>58</v>
      </c>
      <c r="G31" s="9">
        <f>VLOOKUP($A$4,zone_lu,4)</f>
        <v>58.866228829999997</v>
      </c>
      <c r="H31" s="10">
        <f t="shared" si="0"/>
        <v>1883.7193225599999</v>
      </c>
    </row>
    <row r="32" spans="3:8" x14ac:dyDescent="0.3">
      <c r="C32" t="s">
        <v>107</v>
      </c>
      <c r="F32" s="41"/>
      <c r="G32" s="9"/>
      <c r="H32" s="10">
        <f t="shared" si="0"/>
        <v>0</v>
      </c>
    </row>
    <row r="33" spans="2:9" x14ac:dyDescent="0.3">
      <c r="D33" t="s">
        <v>64</v>
      </c>
      <c r="E33">
        <v>6</v>
      </c>
      <c r="F33" s="41" t="s">
        <v>60</v>
      </c>
      <c r="G33" s="9">
        <v>250</v>
      </c>
      <c r="H33" s="10">
        <f t="shared" si="0"/>
        <v>1500</v>
      </c>
    </row>
    <row r="34" spans="2:9" x14ac:dyDescent="0.3">
      <c r="D34" t="s">
        <v>54</v>
      </c>
      <c r="E34">
        <v>24</v>
      </c>
      <c r="F34" s="41" t="s">
        <v>58</v>
      </c>
      <c r="G34" s="9">
        <f>VLOOKUP($A$4,zone_lu,4)</f>
        <v>58.866228829999997</v>
      </c>
      <c r="H34" s="10">
        <f t="shared" si="0"/>
        <v>1412.7894919199998</v>
      </c>
    </row>
    <row r="35" spans="2:9" x14ac:dyDescent="0.3">
      <c r="E35" s="11"/>
      <c r="F35" s="42"/>
      <c r="G35" s="12"/>
      <c r="H35" s="13">
        <f>SUBTOTAL(9,H12:H34)</f>
        <v>63685.105427279996</v>
      </c>
    </row>
    <row r="36" spans="2:9" x14ac:dyDescent="0.3">
      <c r="E36" s="16"/>
      <c r="F36" s="43"/>
      <c r="G36" s="17"/>
      <c r="H36" s="18"/>
    </row>
    <row r="37" spans="2:9" x14ac:dyDescent="0.3">
      <c r="B37" s="11"/>
      <c r="C37" s="11" t="s">
        <v>71</v>
      </c>
      <c r="D37" s="11"/>
      <c r="E37" s="11"/>
      <c r="F37" s="42"/>
      <c r="G37" s="12"/>
      <c r="H37" s="13">
        <f>SUBTOTAL(9,H6:H36)</f>
        <v>68097.8949192</v>
      </c>
    </row>
    <row r="38" spans="2:9" x14ac:dyDescent="0.3">
      <c r="F38" s="41"/>
      <c r="G38" s="9"/>
      <c r="H38" s="10">
        <f t="shared" si="0"/>
        <v>0</v>
      </c>
    </row>
    <row r="39" spans="2:9" x14ac:dyDescent="0.3">
      <c r="B39" t="s">
        <v>104</v>
      </c>
      <c r="E39" s="47">
        <f>VLOOKUP($A$4,zone_lu,5)</f>
        <v>0.15</v>
      </c>
      <c r="F39" s="41"/>
      <c r="G39" s="9"/>
      <c r="H39" s="10">
        <f>ROUND(H37*E39,0)</f>
        <v>10215</v>
      </c>
      <c r="I39" s="10">
        <f>ROUND(I37*F39,0)</f>
        <v>0</v>
      </c>
    </row>
    <row r="40" spans="2:9" x14ac:dyDescent="0.3">
      <c r="E40" s="47"/>
      <c r="F40" s="41"/>
      <c r="G40" s="9"/>
      <c r="H40" s="10"/>
      <c r="I40" s="10"/>
    </row>
    <row r="41" spans="2:9" x14ac:dyDescent="0.3">
      <c r="B41" t="s">
        <v>103</v>
      </c>
      <c r="E41" s="47">
        <f>VLOOKUP($A$4,zone_lu,6)</f>
        <v>0.1</v>
      </c>
      <c r="F41" s="41"/>
      <c r="G41" s="9"/>
      <c r="H41" s="10">
        <f>ROUND(SUM(H37:H40)*E41,0)</f>
        <v>7831</v>
      </c>
      <c r="I41" s="10"/>
    </row>
    <row r="42" spans="2:9" x14ac:dyDescent="0.3">
      <c r="E42" s="47"/>
      <c r="F42" s="41"/>
      <c r="G42" s="9"/>
      <c r="H42" s="10"/>
      <c r="I42" s="10"/>
    </row>
    <row r="43" spans="2:9" x14ac:dyDescent="0.3">
      <c r="B43" t="s">
        <v>127</v>
      </c>
      <c r="E43" s="47">
        <f>VLOOKUP($A$4,zone_lu,7)</f>
        <v>1.2500000000000001E-2</v>
      </c>
      <c r="F43" s="41"/>
      <c r="G43" s="9"/>
      <c r="H43" s="10">
        <f>ROUND(SUM(H37:H42)*E43,0)</f>
        <v>1077</v>
      </c>
      <c r="I43" s="10"/>
    </row>
    <row r="44" spans="2:9" x14ac:dyDescent="0.3">
      <c r="E44" s="47"/>
      <c r="F44" s="41"/>
      <c r="G44" s="9"/>
      <c r="H44" s="10"/>
      <c r="I44" s="10"/>
    </row>
    <row r="45" spans="2:9" x14ac:dyDescent="0.3">
      <c r="B45" t="s">
        <v>105</v>
      </c>
      <c r="E45" s="47">
        <f>VLOOKUP($A$4,zone_lu,8)</f>
        <v>0</v>
      </c>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87220.8949192</v>
      </c>
    </row>
    <row r="49" ht="15" thickTop="1" x14ac:dyDescent="0.3"/>
  </sheetData>
  <mergeCells count="1">
    <mergeCell ref="A4:C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25"/>
  <dimension ref="A1:O49"/>
  <sheetViews>
    <sheetView showGridLines="0" topLeftCell="A6"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1990's</v>
      </c>
    </row>
    <row r="2" spans="1:15" x14ac:dyDescent="0.3">
      <c r="A2" t="s">
        <v>10</v>
      </c>
    </row>
    <row r="3" spans="1:15" x14ac:dyDescent="0.3">
      <c r="A3" t="s">
        <v>49</v>
      </c>
    </row>
    <row r="4" spans="1:15" ht="14.4" customHeight="1" x14ac:dyDescent="0.3">
      <c r="A4" s="88">
        <v>12</v>
      </c>
      <c r="B4" s="88"/>
      <c r="C4" s="88"/>
    </row>
    <row r="6" spans="1:15" x14ac:dyDescent="0.3">
      <c r="B6" t="s">
        <v>50</v>
      </c>
      <c r="F6" s="41"/>
      <c r="G6" s="9"/>
      <c r="H6" s="8"/>
    </row>
    <row r="7" spans="1:15" x14ac:dyDescent="0.3">
      <c r="C7" t="s">
        <v>55</v>
      </c>
      <c r="F7" s="41"/>
      <c r="G7" s="9"/>
      <c r="H7" s="8"/>
    </row>
    <row r="8" spans="1:15" x14ac:dyDescent="0.3">
      <c r="D8" t="s">
        <v>54</v>
      </c>
      <c r="E8">
        <v>24</v>
      </c>
      <c r="F8" s="41" t="s">
        <v>58</v>
      </c>
      <c r="G8" s="9">
        <f>VLOOKUP($A$4,zone_lu,4)</f>
        <v>58.866228829999997</v>
      </c>
      <c r="H8" s="10">
        <f>E8*G8</f>
        <v>1412.7894919199998</v>
      </c>
    </row>
    <row r="9" spans="1:15" x14ac:dyDescent="0.3">
      <c r="D9" t="s">
        <v>59</v>
      </c>
      <c r="E9">
        <v>6</v>
      </c>
      <c r="F9" s="41" t="s">
        <v>60</v>
      </c>
      <c r="G9" s="9">
        <v>500</v>
      </c>
      <c r="H9" s="10">
        <f t="shared" ref="H9:H38" si="0">E9*G9</f>
        <v>3000</v>
      </c>
    </row>
    <row r="10" spans="1:15" x14ac:dyDescent="0.3">
      <c r="E10" s="11"/>
      <c r="F10" s="42"/>
      <c r="G10" s="12"/>
      <c r="H10" s="13">
        <f>SUBTOTAL(9,H6:H9)</f>
        <v>4412.7894919199998</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6</v>
      </c>
      <c r="F14" s="41" t="s">
        <v>62</v>
      </c>
      <c r="G14" s="29">
        <v>1600</v>
      </c>
      <c r="H14" s="10">
        <f t="shared" si="0"/>
        <v>9600</v>
      </c>
    </row>
    <row r="15" spans="1:15" x14ac:dyDescent="0.3">
      <c r="D15" s="24" t="s">
        <v>142</v>
      </c>
      <c r="F15" s="41"/>
      <c r="G15" s="9"/>
      <c r="H15" s="10">
        <f t="shared" si="0"/>
        <v>0</v>
      </c>
    </row>
    <row r="16" spans="1:15" x14ac:dyDescent="0.3">
      <c r="D16" s="23" t="s">
        <v>64</v>
      </c>
      <c r="E16">
        <v>6</v>
      </c>
      <c r="F16" s="41" t="s">
        <v>60</v>
      </c>
      <c r="G16" s="9">
        <v>250</v>
      </c>
      <c r="H16" s="10">
        <f t="shared" si="0"/>
        <v>1500</v>
      </c>
    </row>
    <row r="17" spans="3:8" x14ac:dyDescent="0.3">
      <c r="D17" s="23" t="s">
        <v>54</v>
      </c>
      <c r="E17">
        <v>96</v>
      </c>
      <c r="F17" s="41" t="s">
        <v>58</v>
      </c>
      <c r="G17" s="9">
        <f>VLOOKUP($A$4,zone_lu,4)</f>
        <v>58.866228829999997</v>
      </c>
      <c r="H17" s="10">
        <f t="shared" si="0"/>
        <v>5651.1579676799993</v>
      </c>
    </row>
    <row r="18" spans="3:8" x14ac:dyDescent="0.3">
      <c r="C18" t="s">
        <v>52</v>
      </c>
      <c r="D18" s="23"/>
      <c r="F18" s="41"/>
      <c r="G18" s="9"/>
      <c r="H18" s="10">
        <f t="shared" si="0"/>
        <v>0</v>
      </c>
    </row>
    <row r="19" spans="3:8" x14ac:dyDescent="0.3">
      <c r="D19" s="23" t="s">
        <v>66</v>
      </c>
      <c r="E19">
        <v>6</v>
      </c>
      <c r="F19" s="41" t="s">
        <v>62</v>
      </c>
      <c r="G19" s="29">
        <v>4800</v>
      </c>
      <c r="H19" s="10">
        <f t="shared" si="0"/>
        <v>28800</v>
      </c>
    </row>
    <row r="20" spans="3:8" x14ac:dyDescent="0.3">
      <c r="D20" s="22" t="s">
        <v>77</v>
      </c>
      <c r="F20" s="41"/>
      <c r="G20" s="9"/>
      <c r="H20" s="10">
        <f t="shared" si="0"/>
        <v>0</v>
      </c>
    </row>
    <row r="21" spans="3:8" x14ac:dyDescent="0.3">
      <c r="D21" s="15" t="s">
        <v>68</v>
      </c>
      <c r="E21">
        <v>6</v>
      </c>
      <c r="F21" s="41" t="s">
        <v>62</v>
      </c>
      <c r="G21" s="9">
        <v>100</v>
      </c>
      <c r="H21" s="10">
        <f t="shared" si="0"/>
        <v>600</v>
      </c>
    </row>
    <row r="22" spans="3:8" x14ac:dyDescent="0.3">
      <c r="D22" s="15" t="s">
        <v>114</v>
      </c>
      <c r="E22">
        <v>600</v>
      </c>
      <c r="F22" s="41" t="s">
        <v>67</v>
      </c>
      <c r="G22" s="9">
        <v>4</v>
      </c>
      <c r="H22" s="10">
        <f t="shared" si="0"/>
        <v>2400</v>
      </c>
    </row>
    <row r="23" spans="3:8" x14ac:dyDescent="0.3">
      <c r="D23" t="s">
        <v>64</v>
      </c>
      <c r="E23">
        <v>6</v>
      </c>
      <c r="F23" s="41" t="s">
        <v>60</v>
      </c>
      <c r="G23" s="9">
        <v>400</v>
      </c>
      <c r="H23" s="10">
        <f t="shared" si="0"/>
        <v>2400</v>
      </c>
    </row>
    <row r="24" spans="3:8" x14ac:dyDescent="0.3">
      <c r="D24" t="s">
        <v>54</v>
      </c>
      <c r="E24">
        <f>4*16</f>
        <v>64</v>
      </c>
      <c r="F24" s="41" t="s">
        <v>58</v>
      </c>
      <c r="G24" s="9">
        <f>VLOOKUP($A$4,zone_lu,4)</f>
        <v>58.866228829999997</v>
      </c>
      <c r="H24" s="10">
        <f t="shared" si="0"/>
        <v>3767.4386451199998</v>
      </c>
    </row>
    <row r="25" spans="3:8" x14ac:dyDescent="0.3">
      <c r="C25" t="s">
        <v>106</v>
      </c>
      <c r="F25" s="41"/>
      <c r="G25" s="9"/>
      <c r="H25" s="10"/>
    </row>
    <row r="26" spans="3:8" x14ac:dyDescent="0.3">
      <c r="D26" t="s">
        <v>111</v>
      </c>
      <c r="E26">
        <v>6</v>
      </c>
      <c r="F26" s="41" t="s">
        <v>62</v>
      </c>
      <c r="G26" s="9">
        <v>400</v>
      </c>
      <c r="H26" s="10">
        <f t="shared" si="0"/>
        <v>2400</v>
      </c>
    </row>
    <row r="27" spans="3:8" x14ac:dyDescent="0.3">
      <c r="C27" t="s">
        <v>128</v>
      </c>
      <c r="F27" s="41"/>
      <c r="G27" s="9"/>
      <c r="H27" s="10"/>
    </row>
    <row r="28" spans="3:8" x14ac:dyDescent="0.3">
      <c r="D28" t="s">
        <v>129</v>
      </c>
      <c r="E28">
        <v>6</v>
      </c>
      <c r="F28" s="41" t="s">
        <v>62</v>
      </c>
      <c r="G28" s="9">
        <v>95</v>
      </c>
      <c r="H28" s="10">
        <f t="shared" si="0"/>
        <v>570</v>
      </c>
    </row>
    <row r="29" spans="3:8" x14ac:dyDescent="0.3">
      <c r="D29" t="s">
        <v>130</v>
      </c>
      <c r="F29" s="41"/>
      <c r="G29" s="9"/>
      <c r="H29" s="37" t="s">
        <v>112</v>
      </c>
    </row>
    <row r="30" spans="3:8" x14ac:dyDescent="0.3">
      <c r="D30" t="s">
        <v>131</v>
      </c>
      <c r="F30" s="41"/>
      <c r="G30" s="9"/>
      <c r="H30" s="37" t="s">
        <v>15</v>
      </c>
    </row>
    <row r="31" spans="3:8" x14ac:dyDescent="0.3">
      <c r="D31" t="s">
        <v>54</v>
      </c>
      <c r="E31">
        <v>32</v>
      </c>
      <c r="F31" s="41" t="s">
        <v>58</v>
      </c>
      <c r="G31" s="9">
        <f>VLOOKUP($A$4,zone_lu,4)</f>
        <v>58.866228829999997</v>
      </c>
      <c r="H31" s="10">
        <f t="shared" si="0"/>
        <v>1883.7193225599999</v>
      </c>
    </row>
    <row r="32" spans="3:8" x14ac:dyDescent="0.3">
      <c r="C32" t="s">
        <v>107</v>
      </c>
      <c r="F32" s="41"/>
      <c r="G32" s="9"/>
      <c r="H32" s="10">
        <f t="shared" si="0"/>
        <v>0</v>
      </c>
    </row>
    <row r="33" spans="2:9" x14ac:dyDescent="0.3">
      <c r="D33" t="s">
        <v>64</v>
      </c>
      <c r="E33">
        <v>6</v>
      </c>
      <c r="F33" s="41" t="s">
        <v>60</v>
      </c>
      <c r="G33" s="9">
        <v>250</v>
      </c>
      <c r="H33" s="10">
        <f t="shared" si="0"/>
        <v>1500</v>
      </c>
    </row>
    <row r="34" spans="2:9" x14ac:dyDescent="0.3">
      <c r="D34" t="s">
        <v>54</v>
      </c>
      <c r="E34">
        <v>24</v>
      </c>
      <c r="F34" s="41" t="s">
        <v>58</v>
      </c>
      <c r="G34" s="9">
        <f>VLOOKUP($A$4,zone_lu,4)</f>
        <v>58.866228829999997</v>
      </c>
      <c r="H34" s="10">
        <f t="shared" si="0"/>
        <v>1412.7894919199998</v>
      </c>
    </row>
    <row r="35" spans="2:9" x14ac:dyDescent="0.3">
      <c r="E35" s="11"/>
      <c r="F35" s="42"/>
      <c r="G35" s="12"/>
      <c r="H35" s="13">
        <f>SUBTOTAL(9,H12:H34)</f>
        <v>62485.105427279996</v>
      </c>
    </row>
    <row r="36" spans="2:9" x14ac:dyDescent="0.3">
      <c r="E36" s="16"/>
      <c r="F36" s="43"/>
      <c r="G36" s="17"/>
      <c r="H36" s="18"/>
    </row>
    <row r="37" spans="2:9" x14ac:dyDescent="0.3">
      <c r="B37" s="11"/>
      <c r="C37" s="11" t="s">
        <v>71</v>
      </c>
      <c r="D37" s="11"/>
      <c r="E37" s="11"/>
      <c r="F37" s="42"/>
      <c r="G37" s="12"/>
      <c r="H37" s="13">
        <f>SUBTOTAL(9,H6:H36)</f>
        <v>66897.8949192</v>
      </c>
    </row>
    <row r="38" spans="2:9" x14ac:dyDescent="0.3">
      <c r="F38" s="41"/>
      <c r="G38" s="9"/>
      <c r="H38" s="10">
        <f t="shared" si="0"/>
        <v>0</v>
      </c>
    </row>
    <row r="39" spans="2:9" x14ac:dyDescent="0.3">
      <c r="B39" t="s">
        <v>104</v>
      </c>
      <c r="E39" s="47">
        <f>VLOOKUP($A$4,zone_lu,5)</f>
        <v>0.15</v>
      </c>
      <c r="F39" s="41"/>
      <c r="G39" s="9"/>
      <c r="H39" s="10">
        <f>ROUND(H37*E39,0)</f>
        <v>10035</v>
      </c>
      <c r="I39" s="10">
        <f>ROUND(I37*F39,0)</f>
        <v>0</v>
      </c>
    </row>
    <row r="40" spans="2:9" x14ac:dyDescent="0.3">
      <c r="E40" s="47"/>
      <c r="F40" s="41"/>
      <c r="G40" s="9"/>
      <c r="H40" s="10"/>
      <c r="I40" s="10"/>
    </row>
    <row r="41" spans="2:9" x14ac:dyDescent="0.3">
      <c r="B41" t="s">
        <v>103</v>
      </c>
      <c r="E41" s="47">
        <f>VLOOKUP($A$4,zone_lu,6)</f>
        <v>0.1</v>
      </c>
      <c r="F41" s="41"/>
      <c r="G41" s="9"/>
      <c r="H41" s="10">
        <f>ROUND(SUM(H37:H40)*E41,0)</f>
        <v>7693</v>
      </c>
      <c r="I41" s="10"/>
    </row>
    <row r="42" spans="2:9" x14ac:dyDescent="0.3">
      <c r="E42" s="47"/>
      <c r="F42" s="41"/>
      <c r="G42" s="9"/>
      <c r="H42" s="10"/>
      <c r="I42" s="10"/>
    </row>
    <row r="43" spans="2:9" x14ac:dyDescent="0.3">
      <c r="B43" t="s">
        <v>127</v>
      </c>
      <c r="E43" s="47">
        <f>VLOOKUP($A$4,zone_lu,7)</f>
        <v>1.2500000000000001E-2</v>
      </c>
      <c r="F43" s="41"/>
      <c r="G43" s="9"/>
      <c r="H43" s="10">
        <f>ROUND(SUM(H37:H42)*E43,0)</f>
        <v>1058</v>
      </c>
      <c r="I43" s="10"/>
    </row>
    <row r="44" spans="2:9" x14ac:dyDescent="0.3">
      <c r="E44" s="47"/>
      <c r="F44" s="41"/>
      <c r="G44" s="9"/>
      <c r="H44" s="10"/>
      <c r="I44" s="10"/>
    </row>
    <row r="45" spans="2:9" x14ac:dyDescent="0.3">
      <c r="B45" t="s">
        <v>105</v>
      </c>
      <c r="E45" s="47">
        <f>VLOOKUP($A$4,zone_lu,8)</f>
        <v>0</v>
      </c>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85683.8949192</v>
      </c>
    </row>
    <row r="49" ht="15" thickTop="1" x14ac:dyDescent="0.3"/>
  </sheetData>
  <mergeCells count="1">
    <mergeCell ref="A4:C4"/>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27">
    <tabColor theme="5" tint="0.39997558519241921"/>
  </sheetPr>
  <dimension ref="A1:O49"/>
  <sheetViews>
    <sheetView showGridLines="0" topLeftCell="A6"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Pre-1978</v>
      </c>
    </row>
    <row r="2" spans="1:15" x14ac:dyDescent="0.3">
      <c r="A2" t="s">
        <v>69</v>
      </c>
    </row>
    <row r="3" spans="1:15" x14ac:dyDescent="0.3">
      <c r="A3" t="s">
        <v>49</v>
      </c>
    </row>
    <row r="4" spans="1:15" ht="14.4" customHeight="1" x14ac:dyDescent="0.3">
      <c r="A4" s="88">
        <v>3</v>
      </c>
      <c r="B4" s="88"/>
      <c r="C4" s="88"/>
    </row>
    <row r="6" spans="1:15" x14ac:dyDescent="0.3">
      <c r="B6" t="s">
        <v>50</v>
      </c>
      <c r="F6" s="41"/>
      <c r="G6" s="9"/>
      <c r="H6" s="8"/>
    </row>
    <row r="7" spans="1:15" x14ac:dyDescent="0.3">
      <c r="C7" t="s">
        <v>120</v>
      </c>
      <c r="F7" s="41"/>
      <c r="G7" s="9"/>
      <c r="H7" s="8"/>
    </row>
    <row r="8" spans="1:15" x14ac:dyDescent="0.3">
      <c r="D8" t="s">
        <v>54</v>
      </c>
      <c r="E8">
        <v>48</v>
      </c>
      <c r="F8" s="41" t="s">
        <v>58</v>
      </c>
      <c r="G8" s="9">
        <f>VLOOKUP($A$4,zone_lu,4)</f>
        <v>58.866228829999997</v>
      </c>
      <c r="H8" s="10">
        <f>E8*G8</f>
        <v>2825.5789838399996</v>
      </c>
    </row>
    <row r="9" spans="1:15" x14ac:dyDescent="0.3">
      <c r="D9" t="s">
        <v>59</v>
      </c>
      <c r="E9">
        <v>8</v>
      </c>
      <c r="F9" s="41" t="s">
        <v>60</v>
      </c>
      <c r="G9" s="9">
        <v>500</v>
      </c>
      <c r="H9" s="10">
        <f t="shared" ref="H9:H39" si="0">E9*G9</f>
        <v>4000</v>
      </c>
    </row>
    <row r="10" spans="1:15" x14ac:dyDescent="0.3">
      <c r="E10" s="11"/>
      <c r="F10" s="42"/>
      <c r="G10" s="12"/>
      <c r="H10" s="13">
        <f>SUBTOTAL(9,H6:H9)</f>
        <v>6825.5789838399996</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8</v>
      </c>
      <c r="F14" s="41" t="s">
        <v>62</v>
      </c>
      <c r="G14" s="29">
        <v>950</v>
      </c>
      <c r="H14" s="10">
        <f t="shared" si="0"/>
        <v>7600</v>
      </c>
    </row>
    <row r="15" spans="1:15" x14ac:dyDescent="0.3">
      <c r="D15" s="22" t="s">
        <v>87</v>
      </c>
      <c r="F15" s="41"/>
      <c r="G15" s="9"/>
      <c r="H15" s="10">
        <f t="shared" si="0"/>
        <v>0</v>
      </c>
    </row>
    <row r="16" spans="1:15" x14ac:dyDescent="0.3">
      <c r="D16" s="23" t="s">
        <v>64</v>
      </c>
      <c r="E16">
        <v>8</v>
      </c>
      <c r="F16" s="41" t="s">
        <v>60</v>
      </c>
      <c r="G16" s="9">
        <v>250</v>
      </c>
      <c r="H16" s="10">
        <f t="shared" si="0"/>
        <v>2000</v>
      </c>
    </row>
    <row r="17" spans="3:8" x14ac:dyDescent="0.3">
      <c r="D17" s="23" t="s">
        <v>54</v>
      </c>
      <c r="E17">
        <v>96</v>
      </c>
      <c r="F17" s="41" t="s">
        <v>58</v>
      </c>
      <c r="G17" s="9">
        <f>VLOOKUP($A$4,zone_lu,4)</f>
        <v>58.866228829999997</v>
      </c>
      <c r="H17" s="10">
        <f t="shared" si="0"/>
        <v>5651.1579676799993</v>
      </c>
    </row>
    <row r="18" spans="3:8" x14ac:dyDescent="0.3">
      <c r="C18" t="s">
        <v>52</v>
      </c>
      <c r="D18" s="23"/>
      <c r="F18" s="41"/>
      <c r="G18" s="9"/>
      <c r="H18" s="10">
        <f t="shared" si="0"/>
        <v>0</v>
      </c>
    </row>
    <row r="19" spans="3:8" x14ac:dyDescent="0.3">
      <c r="D19" s="23" t="s">
        <v>66</v>
      </c>
      <c r="E19">
        <v>16</v>
      </c>
      <c r="F19" s="41" t="s">
        <v>62</v>
      </c>
      <c r="G19" s="29">
        <v>800</v>
      </c>
      <c r="H19" s="10">
        <f t="shared" si="0"/>
        <v>12800</v>
      </c>
    </row>
    <row r="20" spans="3:8" x14ac:dyDescent="0.3">
      <c r="D20" s="22" t="s">
        <v>88</v>
      </c>
      <c r="F20" s="41"/>
      <c r="G20" s="9"/>
      <c r="H20" s="10">
        <f t="shared" si="0"/>
        <v>0</v>
      </c>
    </row>
    <row r="21" spans="3:8" x14ac:dyDescent="0.3">
      <c r="D21" s="15" t="s">
        <v>68</v>
      </c>
      <c r="F21" s="41"/>
      <c r="G21" s="9"/>
      <c r="H21" s="39" t="s">
        <v>112</v>
      </c>
    </row>
    <row r="22" spans="3:8" x14ac:dyDescent="0.3">
      <c r="D22" s="15" t="s">
        <v>114</v>
      </c>
      <c r="F22" s="41"/>
      <c r="G22" s="9"/>
      <c r="H22" s="39" t="s">
        <v>112</v>
      </c>
    </row>
    <row r="23" spans="3:8" x14ac:dyDescent="0.3">
      <c r="D23" t="s">
        <v>64</v>
      </c>
      <c r="E23">
        <v>8</v>
      </c>
      <c r="F23" s="41" t="s">
        <v>60</v>
      </c>
      <c r="G23" s="9">
        <v>200</v>
      </c>
      <c r="H23" s="10">
        <f t="shared" si="0"/>
        <v>1600</v>
      </c>
    </row>
    <row r="24" spans="3:8" x14ac:dyDescent="0.3">
      <c r="D24" t="s">
        <v>54</v>
      </c>
      <c r="E24">
        <v>32</v>
      </c>
      <c r="F24" s="41" t="s">
        <v>58</v>
      </c>
      <c r="G24" s="9">
        <f>VLOOKUP($A$4,zone_lu,4)</f>
        <v>58.866228829999997</v>
      </c>
      <c r="H24" s="10">
        <f t="shared" si="0"/>
        <v>1883.7193225599999</v>
      </c>
    </row>
    <row r="25" spans="3:8" x14ac:dyDescent="0.3">
      <c r="C25" t="s">
        <v>106</v>
      </c>
      <c r="F25" s="41"/>
      <c r="G25" s="9"/>
      <c r="H25" s="10"/>
    </row>
    <row r="26" spans="3:8" x14ac:dyDescent="0.3">
      <c r="D26" t="s">
        <v>111</v>
      </c>
      <c r="E26">
        <v>8</v>
      </c>
      <c r="F26" s="41" t="s">
        <v>62</v>
      </c>
      <c r="G26" s="9">
        <v>400</v>
      </c>
      <c r="H26" s="10">
        <f t="shared" si="0"/>
        <v>3200</v>
      </c>
    </row>
    <row r="27" spans="3:8" x14ac:dyDescent="0.3">
      <c r="C27" t="s">
        <v>128</v>
      </c>
      <c r="F27" s="41"/>
      <c r="G27" s="9"/>
      <c r="H27" s="10"/>
    </row>
    <row r="28" spans="3:8" x14ac:dyDescent="0.3">
      <c r="D28" t="s">
        <v>129</v>
      </c>
      <c r="E28">
        <v>8</v>
      </c>
      <c r="F28" s="41" t="s">
        <v>62</v>
      </c>
      <c r="G28" s="9">
        <v>95</v>
      </c>
      <c r="H28" s="10">
        <f t="shared" si="0"/>
        <v>760</v>
      </c>
    </row>
    <row r="29" spans="3:8" x14ac:dyDescent="0.3">
      <c r="D29" t="s">
        <v>130</v>
      </c>
      <c r="F29" s="41"/>
      <c r="G29" s="9"/>
      <c r="H29" s="39" t="s">
        <v>112</v>
      </c>
    </row>
    <row r="30" spans="3:8" x14ac:dyDescent="0.3">
      <c r="D30" t="s">
        <v>131</v>
      </c>
      <c r="F30" s="41"/>
      <c r="G30" s="9"/>
      <c r="H30" s="48" t="s">
        <v>15</v>
      </c>
    </row>
    <row r="31" spans="3:8" x14ac:dyDescent="0.3">
      <c r="D31" t="s">
        <v>54</v>
      </c>
      <c r="E31">
        <v>96</v>
      </c>
      <c r="F31" s="41" t="s">
        <v>58</v>
      </c>
      <c r="G31" s="9">
        <f>VLOOKUP($A$4,zone_lu,4)</f>
        <v>58.866228829999997</v>
      </c>
      <c r="H31" s="10">
        <f t="shared" si="0"/>
        <v>5651.1579676799993</v>
      </c>
    </row>
    <row r="32" spans="3:8" x14ac:dyDescent="0.3">
      <c r="C32" s="23" t="s">
        <v>122</v>
      </c>
      <c r="F32" s="41"/>
      <c r="G32" s="9"/>
      <c r="H32" s="10">
        <f t="shared" si="0"/>
        <v>0</v>
      </c>
    </row>
    <row r="33" spans="2:9" x14ac:dyDescent="0.3">
      <c r="D33" t="s">
        <v>121</v>
      </c>
      <c r="F33" s="41"/>
      <c r="G33" s="9"/>
      <c r="H33" s="39" t="s">
        <v>112</v>
      </c>
    </row>
    <row r="34" spans="2:9" x14ac:dyDescent="0.3">
      <c r="D34" t="s">
        <v>123</v>
      </c>
      <c r="F34" s="41"/>
      <c r="G34" s="9"/>
      <c r="H34" s="39" t="s">
        <v>112</v>
      </c>
    </row>
    <row r="35" spans="2:9" x14ac:dyDescent="0.3">
      <c r="D35" t="s">
        <v>54</v>
      </c>
      <c r="F35" s="41"/>
      <c r="G35" s="9"/>
      <c r="H35" s="39" t="s">
        <v>112</v>
      </c>
    </row>
    <row r="36" spans="2:9" x14ac:dyDescent="0.3">
      <c r="E36" s="11"/>
      <c r="F36" s="42"/>
      <c r="G36" s="12"/>
      <c r="H36" s="13">
        <f>SUBTOTAL(9,H12:H35)</f>
        <v>41146.035257919997</v>
      </c>
    </row>
    <row r="37" spans="2:9" x14ac:dyDescent="0.3">
      <c r="E37" s="16"/>
      <c r="F37" s="43"/>
      <c r="G37" s="17"/>
      <c r="H37" s="18"/>
    </row>
    <row r="38" spans="2:9" x14ac:dyDescent="0.3">
      <c r="B38" s="11"/>
      <c r="C38" s="11" t="s">
        <v>71</v>
      </c>
      <c r="D38" s="11"/>
      <c r="E38" s="11"/>
      <c r="F38" s="42"/>
      <c r="G38" s="12"/>
      <c r="H38" s="13">
        <f>SUBTOTAL(9,H6:H37)</f>
        <v>47971.614241759991</v>
      </c>
    </row>
    <row r="39" spans="2:9" x14ac:dyDescent="0.3">
      <c r="E39" s="47"/>
      <c r="F39" s="41"/>
      <c r="G39" s="9"/>
      <c r="H39" s="10">
        <f t="shared" si="0"/>
        <v>0</v>
      </c>
    </row>
    <row r="40" spans="2:9" x14ac:dyDescent="0.3">
      <c r="B40" t="s">
        <v>104</v>
      </c>
      <c r="E40" s="47">
        <f>VLOOKUP($A$4,zone_lu,5)</f>
        <v>0.15</v>
      </c>
      <c r="F40" s="41"/>
      <c r="G40" s="9"/>
      <c r="H40" s="10">
        <f>ROUND(H38*E40,0)</f>
        <v>7196</v>
      </c>
      <c r="I40" s="10">
        <f>ROUND(I38*F40,0)</f>
        <v>0</v>
      </c>
    </row>
    <row r="41" spans="2:9" x14ac:dyDescent="0.3">
      <c r="E41" s="47"/>
      <c r="F41" s="41"/>
      <c r="G41" s="9"/>
      <c r="H41" s="10"/>
      <c r="I41" s="10"/>
    </row>
    <row r="42" spans="2:9" x14ac:dyDescent="0.3">
      <c r="B42" t="s">
        <v>103</v>
      </c>
      <c r="E42" s="47">
        <f>VLOOKUP($A$4,zone_lu,6)</f>
        <v>0.1</v>
      </c>
      <c r="F42" s="41"/>
      <c r="G42" s="9"/>
      <c r="H42" s="10">
        <f>ROUND(SUM(H38:H41)*E42,0)</f>
        <v>5517</v>
      </c>
      <c r="I42" s="10"/>
    </row>
    <row r="43" spans="2:9" x14ac:dyDescent="0.3">
      <c r="B43" t="s">
        <v>127</v>
      </c>
      <c r="E43" s="47"/>
      <c r="F43" s="41"/>
      <c r="G43" s="9"/>
      <c r="H43" s="10"/>
      <c r="I43" s="10"/>
    </row>
    <row r="44" spans="2:9" x14ac:dyDescent="0.3">
      <c r="E44" s="47"/>
      <c r="F44" s="41"/>
      <c r="G44" s="9"/>
      <c r="H44" s="10"/>
      <c r="I44" s="10"/>
    </row>
    <row r="45" spans="2:9" x14ac:dyDescent="0.3">
      <c r="E45" s="47">
        <f>VLOOKUP($A$4,zone_lu,8)</f>
        <v>0</v>
      </c>
      <c r="F45" s="41"/>
      <c r="G45" s="9"/>
      <c r="H45" s="10">
        <f>ROUND(SUM(H37:H44)*E45,0)</f>
        <v>0</v>
      </c>
      <c r="I45" s="10"/>
    </row>
    <row r="46" spans="2:9" x14ac:dyDescent="0.3">
      <c r="B46" t="s">
        <v>105</v>
      </c>
      <c r="E46" s="19">
        <f>VLOOKUP($A$4,zone_lu,7)</f>
        <v>1.2500000000000001E-2</v>
      </c>
      <c r="F46" s="41"/>
      <c r="G46" s="9"/>
      <c r="H46" s="10">
        <f>ROUND(SUM(H38:H43)*E46,0)</f>
        <v>759</v>
      </c>
      <c r="I46" s="10"/>
    </row>
    <row r="48" spans="2:9" ht="15" thickBot="1" x14ac:dyDescent="0.35">
      <c r="B48" s="33" t="s">
        <v>72</v>
      </c>
      <c r="C48" s="33"/>
      <c r="D48" s="33"/>
      <c r="E48" s="33"/>
      <c r="F48" s="44"/>
      <c r="G48" s="33"/>
      <c r="H48" s="34">
        <f>SUBTOTAL(9,H6:H47)</f>
        <v>61443.614241759991</v>
      </c>
    </row>
    <row r="49" ht="15" thickTop="1" x14ac:dyDescent="0.3"/>
  </sheetData>
  <mergeCells count="1">
    <mergeCell ref="A4:C4"/>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31">
    <tabColor theme="5" tint="0.39997558519241921"/>
  </sheetPr>
  <dimension ref="A1:O49"/>
  <sheetViews>
    <sheetView showGridLines="0" topLeftCell="A6"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Pre-1978</v>
      </c>
    </row>
    <row r="2" spans="1:15" x14ac:dyDescent="0.3">
      <c r="A2" t="s">
        <v>69</v>
      </c>
    </row>
    <row r="3" spans="1:15" x14ac:dyDescent="0.3">
      <c r="A3" t="s">
        <v>49</v>
      </c>
    </row>
    <row r="4" spans="1:15" ht="14.4" customHeight="1" x14ac:dyDescent="0.3">
      <c r="A4" s="88">
        <v>4</v>
      </c>
      <c r="B4" s="88"/>
      <c r="C4" s="88"/>
    </row>
    <row r="6" spans="1:15" x14ac:dyDescent="0.3">
      <c r="B6" t="s">
        <v>50</v>
      </c>
      <c r="F6" s="41"/>
      <c r="G6" s="9"/>
      <c r="H6" s="8"/>
    </row>
    <row r="7" spans="1:15" x14ac:dyDescent="0.3">
      <c r="C7" t="s">
        <v>120</v>
      </c>
      <c r="F7" s="41"/>
      <c r="G7" s="9"/>
      <c r="H7" s="8"/>
    </row>
    <row r="8" spans="1:15" x14ac:dyDescent="0.3">
      <c r="D8" t="s">
        <v>54</v>
      </c>
      <c r="E8">
        <v>48</v>
      </c>
      <c r="F8" s="41" t="s">
        <v>58</v>
      </c>
      <c r="G8" s="9">
        <f>VLOOKUP($A$4,zone_lu,4)</f>
        <v>58.866228829999997</v>
      </c>
      <c r="H8" s="10">
        <f>E8*G8</f>
        <v>2825.5789838399996</v>
      </c>
    </row>
    <row r="9" spans="1:15" x14ac:dyDescent="0.3">
      <c r="D9" t="s">
        <v>59</v>
      </c>
      <c r="E9">
        <v>8</v>
      </c>
      <c r="F9" s="41" t="s">
        <v>60</v>
      </c>
      <c r="G9" s="9">
        <v>500</v>
      </c>
      <c r="H9" s="10">
        <f t="shared" ref="H9:H39" si="0">E9*G9</f>
        <v>4000</v>
      </c>
    </row>
    <row r="10" spans="1:15" x14ac:dyDescent="0.3">
      <c r="E10" s="11"/>
      <c r="F10" s="42"/>
      <c r="G10" s="12"/>
      <c r="H10" s="13">
        <f>SUBTOTAL(9,H6:H9)</f>
        <v>6825.5789838399996</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s="23" t="s">
        <v>61</v>
      </c>
      <c r="E14">
        <v>8</v>
      </c>
      <c r="F14" s="41" t="s">
        <v>62</v>
      </c>
      <c r="G14" s="29">
        <v>950</v>
      </c>
      <c r="H14" s="10">
        <f t="shared" si="0"/>
        <v>7600</v>
      </c>
    </row>
    <row r="15" spans="1:15" x14ac:dyDescent="0.3">
      <c r="D15" s="22" t="s">
        <v>87</v>
      </c>
      <c r="F15" s="41"/>
      <c r="G15" s="9"/>
      <c r="H15" s="10">
        <f t="shared" si="0"/>
        <v>0</v>
      </c>
    </row>
    <row r="16" spans="1:15" x14ac:dyDescent="0.3">
      <c r="D16" s="23" t="s">
        <v>64</v>
      </c>
      <c r="E16">
        <v>8</v>
      </c>
      <c r="F16" s="41" t="s">
        <v>60</v>
      </c>
      <c r="G16" s="9">
        <v>250</v>
      </c>
      <c r="H16" s="10">
        <f t="shared" si="0"/>
        <v>2000</v>
      </c>
    </row>
    <row r="17" spans="3:8" x14ac:dyDescent="0.3">
      <c r="D17" s="23" t="s">
        <v>54</v>
      </c>
      <c r="E17">
        <v>96</v>
      </c>
      <c r="F17" s="41" t="s">
        <v>58</v>
      </c>
      <c r="G17" s="9">
        <f>VLOOKUP($A$4,zone_lu,4)</f>
        <v>58.866228829999997</v>
      </c>
      <c r="H17" s="10">
        <f t="shared" si="0"/>
        <v>5651.1579676799993</v>
      </c>
    </row>
    <row r="18" spans="3:8" x14ac:dyDescent="0.3">
      <c r="C18" t="s">
        <v>52</v>
      </c>
      <c r="D18" s="23"/>
      <c r="F18" s="41"/>
      <c r="G18" s="9"/>
      <c r="H18" s="10">
        <f t="shared" si="0"/>
        <v>0</v>
      </c>
    </row>
    <row r="19" spans="3:8" x14ac:dyDescent="0.3">
      <c r="D19" s="23" t="s">
        <v>66</v>
      </c>
      <c r="E19">
        <v>16</v>
      </c>
      <c r="F19" s="41" t="s">
        <v>62</v>
      </c>
      <c r="G19" s="29">
        <v>1200</v>
      </c>
      <c r="H19" s="10">
        <f t="shared" si="0"/>
        <v>19200</v>
      </c>
    </row>
    <row r="20" spans="3:8" x14ac:dyDescent="0.3">
      <c r="D20" s="22" t="s">
        <v>90</v>
      </c>
      <c r="F20" s="41"/>
      <c r="G20" s="9"/>
      <c r="H20" s="10">
        <f t="shared" si="0"/>
        <v>0</v>
      </c>
    </row>
    <row r="21" spans="3:8" x14ac:dyDescent="0.3">
      <c r="D21" s="25" t="s">
        <v>68</v>
      </c>
      <c r="F21" s="41"/>
      <c r="G21" s="9"/>
      <c r="H21" s="39" t="s">
        <v>112</v>
      </c>
    </row>
    <row r="22" spans="3:8" x14ac:dyDescent="0.3">
      <c r="D22" s="25" t="s">
        <v>114</v>
      </c>
      <c r="F22" s="41"/>
      <c r="G22" s="9"/>
      <c r="H22" s="39" t="s">
        <v>112</v>
      </c>
    </row>
    <row r="23" spans="3:8" x14ac:dyDescent="0.3">
      <c r="D23" s="23" t="s">
        <v>64</v>
      </c>
      <c r="E23">
        <v>8</v>
      </c>
      <c r="F23" s="41" t="s">
        <v>60</v>
      </c>
      <c r="G23" s="9">
        <v>200</v>
      </c>
      <c r="H23" s="10">
        <f t="shared" si="0"/>
        <v>1600</v>
      </c>
    </row>
    <row r="24" spans="3:8" x14ac:dyDescent="0.3">
      <c r="D24" s="23" t="s">
        <v>54</v>
      </c>
      <c r="E24">
        <v>32</v>
      </c>
      <c r="F24" s="41" t="s">
        <v>58</v>
      </c>
      <c r="G24" s="9">
        <f>VLOOKUP($A$4,zone_lu,4)</f>
        <v>58.866228829999997</v>
      </c>
      <c r="H24" s="10">
        <f t="shared" si="0"/>
        <v>1883.7193225599999</v>
      </c>
    </row>
    <row r="25" spans="3:8" x14ac:dyDescent="0.3">
      <c r="C25" t="s">
        <v>106</v>
      </c>
      <c r="D25" s="23"/>
      <c r="F25" s="41"/>
      <c r="G25" s="9"/>
      <c r="H25" s="10"/>
    </row>
    <row r="26" spans="3:8" x14ac:dyDescent="0.3">
      <c r="D26" t="s">
        <v>111</v>
      </c>
      <c r="E26">
        <v>8</v>
      </c>
      <c r="F26" s="41" t="s">
        <v>62</v>
      </c>
      <c r="G26" s="9">
        <v>400</v>
      </c>
      <c r="H26" s="10">
        <f t="shared" si="0"/>
        <v>3200</v>
      </c>
    </row>
    <row r="27" spans="3:8" x14ac:dyDescent="0.3">
      <c r="C27" t="s">
        <v>128</v>
      </c>
      <c r="F27" s="41"/>
      <c r="G27" s="9"/>
      <c r="H27" s="10"/>
    </row>
    <row r="28" spans="3:8" x14ac:dyDescent="0.3">
      <c r="D28" t="s">
        <v>129</v>
      </c>
      <c r="E28">
        <v>8</v>
      </c>
      <c r="F28" s="41" t="s">
        <v>62</v>
      </c>
      <c r="G28" s="9">
        <v>125</v>
      </c>
      <c r="H28" s="10">
        <f t="shared" si="0"/>
        <v>1000</v>
      </c>
    </row>
    <row r="29" spans="3:8" x14ac:dyDescent="0.3">
      <c r="D29" t="s">
        <v>130</v>
      </c>
      <c r="F29" s="41"/>
      <c r="G29" s="9"/>
      <c r="H29" s="39" t="s">
        <v>112</v>
      </c>
    </row>
    <row r="30" spans="3:8" x14ac:dyDescent="0.3">
      <c r="D30" t="s">
        <v>131</v>
      </c>
      <c r="F30" s="41"/>
      <c r="G30" s="9"/>
      <c r="H30" s="48" t="s">
        <v>15</v>
      </c>
    </row>
    <row r="31" spans="3:8" x14ac:dyDescent="0.3">
      <c r="D31" t="s">
        <v>54</v>
      </c>
      <c r="E31">
        <v>96</v>
      </c>
      <c r="F31" s="41" t="s">
        <v>58</v>
      </c>
      <c r="G31" s="9">
        <f>VLOOKUP($A$4,zone_lu,4)</f>
        <v>58.866228829999997</v>
      </c>
      <c r="H31" s="10">
        <f t="shared" si="0"/>
        <v>5651.1579676799993</v>
      </c>
    </row>
    <row r="32" spans="3:8" x14ac:dyDescent="0.3">
      <c r="C32" s="23" t="s">
        <v>122</v>
      </c>
      <c r="F32" s="41"/>
      <c r="G32" s="9"/>
      <c r="H32" s="10">
        <f t="shared" si="0"/>
        <v>0</v>
      </c>
    </row>
    <row r="33" spans="2:9" x14ac:dyDescent="0.3">
      <c r="D33" t="s">
        <v>121</v>
      </c>
      <c r="F33" s="41"/>
      <c r="G33" s="9"/>
      <c r="H33" s="39" t="s">
        <v>112</v>
      </c>
    </row>
    <row r="34" spans="2:9" x14ac:dyDescent="0.3">
      <c r="D34" t="s">
        <v>123</v>
      </c>
      <c r="F34" s="41"/>
      <c r="G34" s="9"/>
      <c r="H34" s="39" t="s">
        <v>112</v>
      </c>
    </row>
    <row r="35" spans="2:9" x14ac:dyDescent="0.3">
      <c r="D35" t="s">
        <v>54</v>
      </c>
      <c r="F35" s="41"/>
      <c r="G35" s="9"/>
      <c r="H35" s="39" t="s">
        <v>112</v>
      </c>
    </row>
    <row r="36" spans="2:9" x14ac:dyDescent="0.3">
      <c r="E36" s="11"/>
      <c r="F36" s="42"/>
      <c r="G36" s="12"/>
      <c r="H36" s="13">
        <f>SUBTOTAL(9,H12:H35)</f>
        <v>47786.035257919997</v>
      </c>
    </row>
    <row r="37" spans="2:9" x14ac:dyDescent="0.3">
      <c r="E37" s="16"/>
      <c r="F37" s="43"/>
      <c r="G37" s="17"/>
      <c r="H37" s="18"/>
    </row>
    <row r="38" spans="2:9" x14ac:dyDescent="0.3">
      <c r="B38" s="11"/>
      <c r="C38" s="11" t="s">
        <v>71</v>
      </c>
      <c r="D38" s="11"/>
      <c r="E38" s="11"/>
      <c r="F38" s="42"/>
      <c r="G38" s="12"/>
      <c r="H38" s="13">
        <f>SUBTOTAL(9,H6:H37)</f>
        <v>54611.614241759991</v>
      </c>
    </row>
    <row r="39" spans="2:9" x14ac:dyDescent="0.3">
      <c r="E39" s="47"/>
      <c r="F39" s="41"/>
      <c r="G39" s="9"/>
      <c r="H39" s="10">
        <f t="shared" si="0"/>
        <v>0</v>
      </c>
    </row>
    <row r="40" spans="2:9" x14ac:dyDescent="0.3">
      <c r="B40" t="s">
        <v>104</v>
      </c>
      <c r="E40" s="47">
        <f>VLOOKUP($A$4,zone_lu,5)</f>
        <v>0.15</v>
      </c>
      <c r="F40" s="41"/>
      <c r="G40" s="9"/>
      <c r="H40" s="10">
        <f>ROUND(H38*E40,0)</f>
        <v>8192</v>
      </c>
      <c r="I40" s="10">
        <f>ROUND(I38*F40,0)</f>
        <v>0</v>
      </c>
    </row>
    <row r="41" spans="2:9" x14ac:dyDescent="0.3">
      <c r="E41" s="47"/>
      <c r="F41" s="41"/>
      <c r="G41" s="9"/>
      <c r="H41" s="10"/>
      <c r="I41" s="10"/>
    </row>
    <row r="42" spans="2:9" x14ac:dyDescent="0.3">
      <c r="B42" t="s">
        <v>103</v>
      </c>
      <c r="E42" s="47">
        <f>VLOOKUP($A$4,zone_lu,6)</f>
        <v>0.1</v>
      </c>
      <c r="F42" s="41"/>
      <c r="G42" s="9"/>
      <c r="H42" s="10">
        <f>ROUND(SUM(H38:H41)*E42,0)</f>
        <v>6280</v>
      </c>
      <c r="I42" s="10"/>
    </row>
    <row r="43" spans="2:9" x14ac:dyDescent="0.3">
      <c r="B43" t="s">
        <v>127</v>
      </c>
      <c r="E43" s="47"/>
      <c r="F43" s="41"/>
      <c r="G43" s="9"/>
      <c r="H43" s="10"/>
      <c r="I43" s="10"/>
    </row>
    <row r="44" spans="2:9" x14ac:dyDescent="0.3">
      <c r="E44" s="47"/>
      <c r="F44" s="41"/>
      <c r="G44" s="9"/>
      <c r="H44" s="10"/>
      <c r="I44" s="10"/>
    </row>
    <row r="45" spans="2:9" x14ac:dyDescent="0.3">
      <c r="E45" s="47">
        <f>VLOOKUP($A$4,zone_lu,8)</f>
        <v>0</v>
      </c>
      <c r="F45" s="41"/>
      <c r="G45" s="9"/>
      <c r="H45" s="10">
        <f>ROUND(SUM(H37:H44)*E45,0)</f>
        <v>0</v>
      </c>
      <c r="I45" s="10"/>
    </row>
    <row r="46" spans="2:9" x14ac:dyDescent="0.3">
      <c r="B46" t="s">
        <v>105</v>
      </c>
      <c r="E46" s="19">
        <f>VLOOKUP($A$4,zone_lu,7)</f>
        <v>1.2500000000000001E-2</v>
      </c>
      <c r="F46" s="41"/>
      <c r="G46" s="9"/>
      <c r="H46" s="10">
        <f>ROUND(SUM(H38:H43)*E46,0)</f>
        <v>864</v>
      </c>
      <c r="I46" s="10"/>
    </row>
    <row r="48" spans="2:9" ht="15" thickBot="1" x14ac:dyDescent="0.35">
      <c r="B48" s="33" t="s">
        <v>72</v>
      </c>
      <c r="C48" s="33"/>
      <c r="D48" s="33"/>
      <c r="E48" s="33"/>
      <c r="F48" s="44"/>
      <c r="G48" s="33"/>
      <c r="H48" s="34">
        <f>SUBTOTAL(9,H6:H47)</f>
        <v>69947.614241759991</v>
      </c>
    </row>
    <row r="49" ht="15" thickTop="1" x14ac:dyDescent="0.3"/>
  </sheetData>
  <mergeCells count="1">
    <mergeCell ref="A4:C4"/>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29">
    <tabColor theme="5" tint="0.39997558519241921"/>
  </sheetPr>
  <dimension ref="A1:O49"/>
  <sheetViews>
    <sheetView showGridLines="0" topLeftCell="A6"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Pre-1978</v>
      </c>
    </row>
    <row r="2" spans="1:15" x14ac:dyDescent="0.3">
      <c r="A2" t="s">
        <v>69</v>
      </c>
    </row>
    <row r="3" spans="1:15" x14ac:dyDescent="0.3">
      <c r="A3" t="s">
        <v>49</v>
      </c>
    </row>
    <row r="4" spans="1:15" ht="14.4" customHeight="1" x14ac:dyDescent="0.3">
      <c r="A4" s="88">
        <v>6</v>
      </c>
      <c r="B4" s="88"/>
      <c r="C4" s="88"/>
    </row>
    <row r="6" spans="1:15" x14ac:dyDescent="0.3">
      <c r="B6" t="s">
        <v>50</v>
      </c>
      <c r="F6" s="41"/>
      <c r="G6" s="9"/>
      <c r="H6" s="8"/>
    </row>
    <row r="7" spans="1:15" x14ac:dyDescent="0.3">
      <c r="C7" t="s">
        <v>120</v>
      </c>
      <c r="F7" s="41"/>
      <c r="G7" s="9"/>
      <c r="H7" s="8"/>
    </row>
    <row r="8" spans="1:15" x14ac:dyDescent="0.3">
      <c r="D8" t="s">
        <v>54</v>
      </c>
      <c r="E8">
        <v>48</v>
      </c>
      <c r="F8" s="41" t="s">
        <v>58</v>
      </c>
      <c r="G8" s="9">
        <f>VLOOKUP($A$4,zone_lu,4)</f>
        <v>58.866228829999997</v>
      </c>
      <c r="H8" s="10">
        <f>E8*G8</f>
        <v>2825.5789838399996</v>
      </c>
    </row>
    <row r="9" spans="1:15" x14ac:dyDescent="0.3">
      <c r="D9" t="s">
        <v>59</v>
      </c>
      <c r="E9">
        <v>8</v>
      </c>
      <c r="F9" s="41" t="s">
        <v>60</v>
      </c>
      <c r="G9" s="9">
        <v>500</v>
      </c>
      <c r="H9" s="10">
        <f t="shared" ref="H9:H39" si="0">E9*G9</f>
        <v>4000</v>
      </c>
    </row>
    <row r="10" spans="1:15" x14ac:dyDescent="0.3">
      <c r="E10" s="11"/>
      <c r="F10" s="42"/>
      <c r="G10" s="12"/>
      <c r="H10" s="13">
        <f>SUBTOTAL(9,H6:H9)</f>
        <v>6825.5789838399996</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8</v>
      </c>
      <c r="F14" s="41" t="s">
        <v>62</v>
      </c>
      <c r="G14" s="29">
        <v>950</v>
      </c>
      <c r="H14" s="10">
        <f t="shared" si="0"/>
        <v>7600</v>
      </c>
    </row>
    <row r="15" spans="1:15" x14ac:dyDescent="0.3">
      <c r="D15" s="22" t="s">
        <v>87</v>
      </c>
      <c r="F15" s="41"/>
      <c r="G15" s="9"/>
      <c r="H15" s="10">
        <f t="shared" si="0"/>
        <v>0</v>
      </c>
    </row>
    <row r="16" spans="1:15" x14ac:dyDescent="0.3">
      <c r="D16" s="23" t="s">
        <v>64</v>
      </c>
      <c r="E16">
        <v>8</v>
      </c>
      <c r="F16" s="41" t="s">
        <v>60</v>
      </c>
      <c r="G16" s="9">
        <v>250</v>
      </c>
      <c r="H16" s="10">
        <f t="shared" si="0"/>
        <v>2000</v>
      </c>
    </row>
    <row r="17" spans="3:8" x14ac:dyDescent="0.3">
      <c r="D17" s="23" t="s">
        <v>54</v>
      </c>
      <c r="E17">
        <v>96</v>
      </c>
      <c r="F17" s="41" t="s">
        <v>58</v>
      </c>
      <c r="G17" s="9">
        <f>VLOOKUP($A$4,zone_lu,4)</f>
        <v>58.866228829999997</v>
      </c>
      <c r="H17" s="10">
        <f t="shared" si="0"/>
        <v>5651.1579676799993</v>
      </c>
    </row>
    <row r="18" spans="3:8" x14ac:dyDescent="0.3">
      <c r="C18" t="s">
        <v>52</v>
      </c>
      <c r="D18" s="23"/>
      <c r="F18" s="41"/>
      <c r="G18" s="9"/>
      <c r="H18" s="10">
        <f t="shared" si="0"/>
        <v>0</v>
      </c>
    </row>
    <row r="19" spans="3:8" x14ac:dyDescent="0.3">
      <c r="D19" s="23" t="s">
        <v>66</v>
      </c>
      <c r="E19">
        <v>16</v>
      </c>
      <c r="F19" s="41" t="s">
        <v>62</v>
      </c>
      <c r="G19" s="29">
        <v>1000</v>
      </c>
      <c r="H19" s="10">
        <f t="shared" si="0"/>
        <v>16000</v>
      </c>
    </row>
    <row r="20" spans="3:8" x14ac:dyDescent="0.3">
      <c r="D20" s="22" t="s">
        <v>91</v>
      </c>
      <c r="F20" s="41"/>
      <c r="G20" s="9"/>
      <c r="H20" s="10">
        <f t="shared" si="0"/>
        <v>0</v>
      </c>
    </row>
    <row r="21" spans="3:8" x14ac:dyDescent="0.3">
      <c r="D21" s="15" t="s">
        <v>68</v>
      </c>
      <c r="F21" s="41"/>
      <c r="G21" s="9"/>
      <c r="H21" s="39" t="s">
        <v>112</v>
      </c>
    </row>
    <row r="22" spans="3:8" x14ac:dyDescent="0.3">
      <c r="D22" s="15" t="s">
        <v>114</v>
      </c>
      <c r="F22" s="41"/>
      <c r="G22" s="9"/>
      <c r="H22" s="39" t="s">
        <v>112</v>
      </c>
    </row>
    <row r="23" spans="3:8" x14ac:dyDescent="0.3">
      <c r="D23" t="s">
        <v>64</v>
      </c>
      <c r="E23">
        <v>8</v>
      </c>
      <c r="F23" s="41" t="s">
        <v>60</v>
      </c>
      <c r="G23" s="9">
        <v>200</v>
      </c>
      <c r="H23" s="10">
        <f t="shared" si="0"/>
        <v>1600</v>
      </c>
    </row>
    <row r="24" spans="3:8" x14ac:dyDescent="0.3">
      <c r="D24" t="s">
        <v>54</v>
      </c>
      <c r="E24">
        <v>32</v>
      </c>
      <c r="F24" s="41" t="s">
        <v>58</v>
      </c>
      <c r="G24" s="9">
        <f>VLOOKUP($A$4,zone_lu,4)</f>
        <v>58.866228829999997</v>
      </c>
      <c r="H24" s="10">
        <f t="shared" si="0"/>
        <v>1883.7193225599999</v>
      </c>
    </row>
    <row r="25" spans="3:8" x14ac:dyDescent="0.3">
      <c r="C25" t="s">
        <v>106</v>
      </c>
      <c r="F25" s="41"/>
      <c r="G25" s="9"/>
      <c r="H25" s="10"/>
    </row>
    <row r="26" spans="3:8" x14ac:dyDescent="0.3">
      <c r="D26" t="s">
        <v>111</v>
      </c>
      <c r="E26">
        <v>8</v>
      </c>
      <c r="F26" s="41" t="s">
        <v>62</v>
      </c>
      <c r="G26" s="9">
        <v>400</v>
      </c>
      <c r="H26" s="10">
        <f t="shared" si="0"/>
        <v>3200</v>
      </c>
    </row>
    <row r="27" spans="3:8" x14ac:dyDescent="0.3">
      <c r="C27" t="s">
        <v>128</v>
      </c>
      <c r="F27" s="41"/>
      <c r="G27" s="9"/>
      <c r="H27" s="10"/>
    </row>
    <row r="28" spans="3:8" x14ac:dyDescent="0.3">
      <c r="D28" t="s">
        <v>129</v>
      </c>
      <c r="E28">
        <v>8</v>
      </c>
      <c r="F28" s="41" t="s">
        <v>62</v>
      </c>
      <c r="G28" s="9">
        <v>95</v>
      </c>
      <c r="H28" s="10">
        <f t="shared" si="0"/>
        <v>760</v>
      </c>
    </row>
    <row r="29" spans="3:8" x14ac:dyDescent="0.3">
      <c r="D29" t="s">
        <v>130</v>
      </c>
      <c r="F29" s="41"/>
      <c r="G29" s="9"/>
      <c r="H29" s="39" t="s">
        <v>112</v>
      </c>
    </row>
    <row r="30" spans="3:8" x14ac:dyDescent="0.3">
      <c r="D30" t="s">
        <v>131</v>
      </c>
      <c r="F30" s="41"/>
      <c r="G30" s="9"/>
      <c r="H30" s="48" t="s">
        <v>15</v>
      </c>
    </row>
    <row r="31" spans="3:8" x14ac:dyDescent="0.3">
      <c r="D31" t="s">
        <v>54</v>
      </c>
      <c r="E31">
        <v>96</v>
      </c>
      <c r="F31" s="41" t="s">
        <v>58</v>
      </c>
      <c r="G31" s="9">
        <f>VLOOKUP($A$4,zone_lu,4)</f>
        <v>58.866228829999997</v>
      </c>
      <c r="H31" s="10">
        <f t="shared" si="0"/>
        <v>5651.1579676799993</v>
      </c>
    </row>
    <row r="32" spans="3:8" x14ac:dyDescent="0.3">
      <c r="C32" s="23" t="s">
        <v>122</v>
      </c>
      <c r="F32" s="41"/>
      <c r="G32" s="9"/>
      <c r="H32" s="10">
        <f t="shared" si="0"/>
        <v>0</v>
      </c>
    </row>
    <row r="33" spans="2:9" x14ac:dyDescent="0.3">
      <c r="D33" t="s">
        <v>121</v>
      </c>
      <c r="F33" s="41"/>
      <c r="G33" s="9"/>
      <c r="H33" s="39" t="s">
        <v>112</v>
      </c>
    </row>
    <row r="34" spans="2:9" x14ac:dyDescent="0.3">
      <c r="D34" t="s">
        <v>123</v>
      </c>
      <c r="F34" s="41"/>
      <c r="G34" s="9"/>
      <c r="H34" s="39" t="s">
        <v>112</v>
      </c>
    </row>
    <row r="35" spans="2:9" x14ac:dyDescent="0.3">
      <c r="D35" t="s">
        <v>54</v>
      </c>
      <c r="F35" s="41"/>
      <c r="G35" s="9"/>
      <c r="H35" s="39" t="s">
        <v>112</v>
      </c>
    </row>
    <row r="36" spans="2:9" x14ac:dyDescent="0.3">
      <c r="E36" s="11"/>
      <c r="F36" s="42"/>
      <c r="G36" s="12"/>
      <c r="H36" s="13">
        <f>SUBTOTAL(9,H12:H35)</f>
        <v>44346.035257919997</v>
      </c>
    </row>
    <row r="37" spans="2:9" x14ac:dyDescent="0.3">
      <c r="E37" s="16"/>
      <c r="F37" s="43"/>
      <c r="G37" s="17"/>
      <c r="H37" s="18"/>
    </row>
    <row r="38" spans="2:9" x14ac:dyDescent="0.3">
      <c r="B38" s="11"/>
      <c r="C38" s="11" t="s">
        <v>71</v>
      </c>
      <c r="D38" s="11"/>
      <c r="E38" s="11"/>
      <c r="F38" s="42"/>
      <c r="G38" s="12"/>
      <c r="H38" s="13">
        <f>SUBTOTAL(9,H6:H37)</f>
        <v>51171.614241759991</v>
      </c>
    </row>
    <row r="39" spans="2:9" x14ac:dyDescent="0.3">
      <c r="E39" s="47"/>
      <c r="F39" s="41"/>
      <c r="G39" s="9"/>
      <c r="H39" s="10">
        <f t="shared" si="0"/>
        <v>0</v>
      </c>
    </row>
    <row r="40" spans="2:9" x14ac:dyDescent="0.3">
      <c r="B40" t="s">
        <v>104</v>
      </c>
      <c r="E40" s="47">
        <f>VLOOKUP($A$4,zone_lu,5)</f>
        <v>0.15</v>
      </c>
      <c r="F40" s="41"/>
      <c r="G40" s="9"/>
      <c r="H40" s="10">
        <f>ROUND(H38*E40,0)</f>
        <v>7676</v>
      </c>
      <c r="I40" s="10">
        <f>ROUND(I38*F40,0)</f>
        <v>0</v>
      </c>
    </row>
    <row r="41" spans="2:9" x14ac:dyDescent="0.3">
      <c r="E41" s="47"/>
      <c r="F41" s="41"/>
      <c r="G41" s="9"/>
      <c r="H41" s="10"/>
      <c r="I41" s="10"/>
    </row>
    <row r="42" spans="2:9" x14ac:dyDescent="0.3">
      <c r="B42" t="s">
        <v>103</v>
      </c>
      <c r="E42" s="47">
        <f>VLOOKUP($A$4,zone_lu,6)</f>
        <v>0.1</v>
      </c>
      <c r="F42" s="41"/>
      <c r="G42" s="9"/>
      <c r="H42" s="10">
        <f>ROUND(SUM(H38:H41)*E42,0)</f>
        <v>5885</v>
      </c>
      <c r="I42" s="10"/>
    </row>
    <row r="43" spans="2:9" x14ac:dyDescent="0.3">
      <c r="B43" t="s">
        <v>127</v>
      </c>
      <c r="E43" s="47"/>
      <c r="F43" s="41"/>
      <c r="G43" s="9"/>
      <c r="H43" s="10"/>
      <c r="I43" s="10"/>
    </row>
    <row r="44" spans="2:9" x14ac:dyDescent="0.3">
      <c r="E44" s="47"/>
      <c r="F44" s="41"/>
      <c r="G44" s="9"/>
      <c r="H44" s="10"/>
      <c r="I44" s="10"/>
    </row>
    <row r="45" spans="2:9" x14ac:dyDescent="0.3">
      <c r="E45" s="47">
        <f>VLOOKUP($A$4,zone_lu,8)</f>
        <v>0</v>
      </c>
      <c r="F45" s="41"/>
      <c r="G45" s="9"/>
      <c r="H45" s="10">
        <f>ROUND(SUM(H37:H44)*E45,0)</f>
        <v>0</v>
      </c>
      <c r="I45" s="10"/>
    </row>
    <row r="46" spans="2:9" x14ac:dyDescent="0.3">
      <c r="B46" t="s">
        <v>105</v>
      </c>
      <c r="E46" s="19">
        <f>VLOOKUP($A$4,zone_lu,7)</f>
        <v>1.2500000000000001E-2</v>
      </c>
      <c r="F46" s="41"/>
      <c r="G46" s="9"/>
      <c r="H46" s="10">
        <f>ROUND(SUM(H38:H43)*E46,0)</f>
        <v>809</v>
      </c>
      <c r="I46" s="10"/>
    </row>
    <row r="48" spans="2:9" ht="15" thickBot="1" x14ac:dyDescent="0.35">
      <c r="B48" s="33" t="s">
        <v>72</v>
      </c>
      <c r="C48" s="33"/>
      <c r="D48" s="33"/>
      <c r="E48" s="33"/>
      <c r="F48" s="44"/>
      <c r="G48" s="33"/>
      <c r="H48" s="34">
        <f>SUBTOTAL(9,H6:H47)</f>
        <v>65541.614241759991</v>
      </c>
    </row>
    <row r="49" ht="15" thickTop="1" x14ac:dyDescent="0.3"/>
  </sheetData>
  <mergeCells count="1">
    <mergeCell ref="A4:C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9"/>
  <dimension ref="B3:I9"/>
  <sheetViews>
    <sheetView showGridLines="0" zoomScale="90" zoomScaleNormal="90" workbookViewId="0">
      <selection activeCell="E5" sqref="E5"/>
    </sheetView>
  </sheetViews>
  <sheetFormatPr defaultRowHeight="14.4" x14ac:dyDescent="0.3"/>
  <cols>
    <col min="3" max="3" width="39" customWidth="1"/>
  </cols>
  <sheetData>
    <row r="3" spans="2:9" x14ac:dyDescent="0.3">
      <c r="B3" t="s">
        <v>98</v>
      </c>
      <c r="E3" t="s">
        <v>54</v>
      </c>
      <c r="F3" t="s">
        <v>100</v>
      </c>
      <c r="G3" t="s">
        <v>110</v>
      </c>
      <c r="H3" t="s">
        <v>126</v>
      </c>
      <c r="I3" t="s">
        <v>101</v>
      </c>
    </row>
    <row r="4" spans="2:9" x14ac:dyDescent="0.3">
      <c r="B4">
        <v>3</v>
      </c>
      <c r="C4" t="s">
        <v>99</v>
      </c>
      <c r="E4" s="50">
        <v>58.866228829999997</v>
      </c>
      <c r="F4" s="51">
        <v>0.15</v>
      </c>
      <c r="G4" s="51">
        <v>0.1</v>
      </c>
      <c r="H4" s="52">
        <v>1.2500000000000001E-2</v>
      </c>
      <c r="I4" s="51">
        <v>0</v>
      </c>
    </row>
    <row r="5" spans="2:9" x14ac:dyDescent="0.3">
      <c r="B5">
        <v>4</v>
      </c>
      <c r="C5" t="s">
        <v>99</v>
      </c>
      <c r="E5" s="50">
        <v>58.866228829999997</v>
      </c>
      <c r="F5" s="51">
        <v>0.15</v>
      </c>
      <c r="G5" s="51">
        <v>0.1</v>
      </c>
      <c r="H5" s="52">
        <v>1.2500000000000001E-2</v>
      </c>
      <c r="I5" s="51">
        <v>0</v>
      </c>
    </row>
    <row r="6" spans="2:9" x14ac:dyDescent="0.3">
      <c r="B6">
        <v>6</v>
      </c>
      <c r="C6" t="s">
        <v>99</v>
      </c>
      <c r="E6" s="50">
        <v>58.866228829999997</v>
      </c>
      <c r="F6" s="51">
        <v>0.15</v>
      </c>
      <c r="G6" s="51">
        <v>0.1</v>
      </c>
      <c r="H6" s="52">
        <v>1.2500000000000001E-2</v>
      </c>
      <c r="I6" s="51">
        <v>0</v>
      </c>
    </row>
    <row r="7" spans="2:9" x14ac:dyDescent="0.3">
      <c r="B7">
        <v>9</v>
      </c>
      <c r="C7" t="s">
        <v>99</v>
      </c>
      <c r="E7" s="50">
        <v>58.866228829999997</v>
      </c>
      <c r="F7" s="51">
        <v>0.15</v>
      </c>
      <c r="G7" s="51">
        <v>0.1</v>
      </c>
      <c r="H7" s="52">
        <v>1.2500000000000001E-2</v>
      </c>
      <c r="I7" s="51">
        <v>0</v>
      </c>
    </row>
    <row r="8" spans="2:9" x14ac:dyDescent="0.3">
      <c r="B8">
        <v>10</v>
      </c>
      <c r="C8" t="s">
        <v>99</v>
      </c>
      <c r="E8" s="50">
        <v>58.866228829999997</v>
      </c>
      <c r="F8" s="51">
        <v>0.15</v>
      </c>
      <c r="G8" s="51">
        <v>0.1</v>
      </c>
      <c r="H8" s="52">
        <v>1.2500000000000001E-2</v>
      </c>
      <c r="I8" s="51">
        <v>0</v>
      </c>
    </row>
    <row r="9" spans="2:9" x14ac:dyDescent="0.3">
      <c r="B9">
        <v>12</v>
      </c>
      <c r="C9" t="s">
        <v>99</v>
      </c>
      <c r="E9" s="50">
        <v>58.866228829999997</v>
      </c>
      <c r="F9" s="51">
        <v>0.15</v>
      </c>
      <c r="G9" s="51">
        <v>0.1</v>
      </c>
      <c r="H9" s="52">
        <v>1.2500000000000001E-2</v>
      </c>
      <c r="I9" s="51">
        <v>0</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33">
    <tabColor theme="5" tint="0.39997558519241921"/>
  </sheetPr>
  <dimension ref="A1:O49"/>
  <sheetViews>
    <sheetView showGridLines="0" topLeftCell="A6"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Pre-1978</v>
      </c>
    </row>
    <row r="2" spans="1:15" x14ac:dyDescent="0.3">
      <c r="A2" t="s">
        <v>69</v>
      </c>
    </row>
    <row r="3" spans="1:15" x14ac:dyDescent="0.3">
      <c r="A3" t="s">
        <v>49</v>
      </c>
    </row>
    <row r="4" spans="1:15" ht="14.4" customHeight="1" x14ac:dyDescent="0.3">
      <c r="A4" s="88">
        <v>9</v>
      </c>
      <c r="B4" s="88"/>
      <c r="C4" s="88"/>
    </row>
    <row r="6" spans="1:15" x14ac:dyDescent="0.3">
      <c r="B6" t="s">
        <v>50</v>
      </c>
      <c r="F6" s="41"/>
      <c r="G6" s="9"/>
      <c r="H6" s="8"/>
    </row>
    <row r="7" spans="1:15" x14ac:dyDescent="0.3">
      <c r="C7" t="s">
        <v>120</v>
      </c>
      <c r="F7" s="41"/>
      <c r="G7" s="9"/>
      <c r="H7" s="8"/>
    </row>
    <row r="8" spans="1:15" x14ac:dyDescent="0.3">
      <c r="D8" t="s">
        <v>54</v>
      </c>
      <c r="E8">
        <v>48</v>
      </c>
      <c r="F8" s="41" t="s">
        <v>58</v>
      </c>
      <c r="G8" s="9">
        <f>VLOOKUP($A$4,zone_lu,4)</f>
        <v>58.866228829999997</v>
      </c>
      <c r="H8" s="10">
        <f>E8*G8</f>
        <v>2825.5789838399996</v>
      </c>
    </row>
    <row r="9" spans="1:15" x14ac:dyDescent="0.3">
      <c r="D9" t="s">
        <v>59</v>
      </c>
      <c r="E9">
        <v>8</v>
      </c>
      <c r="F9" s="41" t="s">
        <v>60</v>
      </c>
      <c r="G9" s="9">
        <v>500</v>
      </c>
      <c r="H9" s="10">
        <f t="shared" ref="H9:H39" si="0">E9*G9</f>
        <v>4000</v>
      </c>
    </row>
    <row r="10" spans="1:15" x14ac:dyDescent="0.3">
      <c r="E10" s="11"/>
      <c r="F10" s="42"/>
      <c r="G10" s="12"/>
      <c r="H10" s="13">
        <f>SUBTOTAL(9,H6:H9)</f>
        <v>6825.5789838399996</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s="23" t="s">
        <v>61</v>
      </c>
      <c r="E14">
        <v>8</v>
      </c>
      <c r="F14" s="41" t="s">
        <v>62</v>
      </c>
      <c r="G14" s="29">
        <v>950</v>
      </c>
      <c r="H14" s="10">
        <f t="shared" si="0"/>
        <v>7600</v>
      </c>
    </row>
    <row r="15" spans="1:15" x14ac:dyDescent="0.3">
      <c r="D15" s="22" t="s">
        <v>87</v>
      </c>
      <c r="F15" s="41"/>
      <c r="G15" s="9"/>
      <c r="H15" s="10">
        <f t="shared" si="0"/>
        <v>0</v>
      </c>
    </row>
    <row r="16" spans="1:15" x14ac:dyDescent="0.3">
      <c r="D16" s="23" t="s">
        <v>64</v>
      </c>
      <c r="E16">
        <v>8</v>
      </c>
      <c r="F16" s="41" t="s">
        <v>60</v>
      </c>
      <c r="G16" s="9">
        <v>250</v>
      </c>
      <c r="H16" s="10">
        <f t="shared" si="0"/>
        <v>2000</v>
      </c>
    </row>
    <row r="17" spans="3:8" x14ac:dyDescent="0.3">
      <c r="D17" s="23" t="s">
        <v>54</v>
      </c>
      <c r="E17">
        <v>96</v>
      </c>
      <c r="F17" s="41" t="s">
        <v>58</v>
      </c>
      <c r="G17" s="9">
        <f>VLOOKUP($A$4,zone_lu,4)</f>
        <v>58.866228829999997</v>
      </c>
      <c r="H17" s="10">
        <f t="shared" si="0"/>
        <v>5651.1579676799993</v>
      </c>
    </row>
    <row r="18" spans="3:8" x14ac:dyDescent="0.3">
      <c r="C18" t="s">
        <v>52</v>
      </c>
      <c r="D18" s="23"/>
      <c r="F18" s="41"/>
      <c r="G18" s="9"/>
      <c r="H18" s="10">
        <f t="shared" si="0"/>
        <v>0</v>
      </c>
    </row>
    <row r="19" spans="3:8" x14ac:dyDescent="0.3">
      <c r="D19" s="23" t="s">
        <v>66</v>
      </c>
      <c r="E19">
        <v>16</v>
      </c>
      <c r="F19" s="41" t="s">
        <v>62</v>
      </c>
      <c r="G19" s="29">
        <v>1200</v>
      </c>
      <c r="H19" s="10">
        <f t="shared" si="0"/>
        <v>19200</v>
      </c>
    </row>
    <row r="20" spans="3:8" x14ac:dyDescent="0.3">
      <c r="D20" s="22" t="s">
        <v>90</v>
      </c>
      <c r="F20" s="41"/>
      <c r="G20" s="9"/>
      <c r="H20" s="10">
        <f t="shared" si="0"/>
        <v>0</v>
      </c>
    </row>
    <row r="21" spans="3:8" x14ac:dyDescent="0.3">
      <c r="D21" s="15" t="s">
        <v>68</v>
      </c>
      <c r="F21" s="41"/>
      <c r="G21" s="9"/>
      <c r="H21" s="39" t="s">
        <v>112</v>
      </c>
    </row>
    <row r="22" spans="3:8" x14ac:dyDescent="0.3">
      <c r="D22" s="15" t="s">
        <v>114</v>
      </c>
      <c r="F22" s="41"/>
      <c r="G22" s="9"/>
      <c r="H22" s="39" t="s">
        <v>112</v>
      </c>
    </row>
    <row r="23" spans="3:8" x14ac:dyDescent="0.3">
      <c r="D23" t="s">
        <v>64</v>
      </c>
      <c r="E23">
        <v>8</v>
      </c>
      <c r="F23" s="41" t="s">
        <v>60</v>
      </c>
      <c r="G23" s="9">
        <v>200</v>
      </c>
      <c r="H23" s="10">
        <f t="shared" si="0"/>
        <v>1600</v>
      </c>
    </row>
    <row r="24" spans="3:8" x14ac:dyDescent="0.3">
      <c r="D24" t="s">
        <v>54</v>
      </c>
      <c r="E24">
        <v>32</v>
      </c>
      <c r="F24" s="41" t="s">
        <v>58</v>
      </c>
      <c r="G24" s="9">
        <f>VLOOKUP($A$4,zone_lu,4)</f>
        <v>58.866228829999997</v>
      </c>
      <c r="H24" s="10">
        <f t="shared" si="0"/>
        <v>1883.7193225599999</v>
      </c>
    </row>
    <row r="25" spans="3:8" x14ac:dyDescent="0.3">
      <c r="C25" t="s">
        <v>106</v>
      </c>
      <c r="F25" s="41"/>
      <c r="G25" s="9"/>
      <c r="H25" s="10"/>
    </row>
    <row r="26" spans="3:8" x14ac:dyDescent="0.3">
      <c r="D26" t="s">
        <v>111</v>
      </c>
      <c r="E26">
        <v>8</v>
      </c>
      <c r="F26" s="41" t="s">
        <v>62</v>
      </c>
      <c r="G26" s="9">
        <v>400</v>
      </c>
      <c r="H26" s="10">
        <f t="shared" si="0"/>
        <v>3200</v>
      </c>
    </row>
    <row r="27" spans="3:8" x14ac:dyDescent="0.3">
      <c r="C27" t="s">
        <v>128</v>
      </c>
      <c r="F27" s="41"/>
      <c r="G27" s="9"/>
      <c r="H27" s="10"/>
    </row>
    <row r="28" spans="3:8" x14ac:dyDescent="0.3">
      <c r="D28" t="s">
        <v>129</v>
      </c>
      <c r="E28">
        <v>8</v>
      </c>
      <c r="F28" s="41" t="s">
        <v>62</v>
      </c>
      <c r="G28" s="9">
        <v>125</v>
      </c>
      <c r="H28" s="10">
        <f t="shared" si="0"/>
        <v>1000</v>
      </c>
    </row>
    <row r="29" spans="3:8" x14ac:dyDescent="0.3">
      <c r="D29" t="s">
        <v>130</v>
      </c>
      <c r="F29" s="41"/>
      <c r="G29" s="9"/>
      <c r="H29" s="39" t="s">
        <v>112</v>
      </c>
    </row>
    <row r="30" spans="3:8" x14ac:dyDescent="0.3">
      <c r="D30" t="s">
        <v>131</v>
      </c>
      <c r="F30" s="41"/>
      <c r="G30" s="9"/>
      <c r="H30" s="48" t="s">
        <v>15</v>
      </c>
    </row>
    <row r="31" spans="3:8" x14ac:dyDescent="0.3">
      <c r="D31" t="s">
        <v>54</v>
      </c>
      <c r="E31">
        <v>96</v>
      </c>
      <c r="F31" s="41" t="s">
        <v>58</v>
      </c>
      <c r="G31" s="9">
        <f>VLOOKUP($A$4,zone_lu,4)</f>
        <v>58.866228829999997</v>
      </c>
      <c r="H31" s="10">
        <f t="shared" si="0"/>
        <v>5651.1579676799993</v>
      </c>
    </row>
    <row r="32" spans="3:8" x14ac:dyDescent="0.3">
      <c r="C32" s="23" t="s">
        <v>122</v>
      </c>
      <c r="F32" s="41"/>
      <c r="G32" s="9"/>
      <c r="H32" s="10">
        <f t="shared" si="0"/>
        <v>0</v>
      </c>
    </row>
    <row r="33" spans="2:9" x14ac:dyDescent="0.3">
      <c r="D33" t="s">
        <v>121</v>
      </c>
      <c r="F33" s="41"/>
      <c r="G33" s="9"/>
      <c r="H33" s="39" t="s">
        <v>112</v>
      </c>
    </row>
    <row r="34" spans="2:9" x14ac:dyDescent="0.3">
      <c r="D34" t="s">
        <v>123</v>
      </c>
      <c r="F34" s="41"/>
      <c r="G34" s="9"/>
      <c r="H34" s="39" t="s">
        <v>112</v>
      </c>
    </row>
    <row r="35" spans="2:9" x14ac:dyDescent="0.3">
      <c r="D35" t="s">
        <v>54</v>
      </c>
      <c r="F35" s="41"/>
      <c r="G35" s="9"/>
      <c r="H35" s="39" t="s">
        <v>112</v>
      </c>
    </row>
    <row r="36" spans="2:9" x14ac:dyDescent="0.3">
      <c r="E36" s="11"/>
      <c r="F36" s="42"/>
      <c r="G36" s="12"/>
      <c r="H36" s="13">
        <f>SUBTOTAL(9,H12:H35)</f>
        <v>47786.035257919997</v>
      </c>
    </row>
    <row r="37" spans="2:9" x14ac:dyDescent="0.3">
      <c r="E37" s="16"/>
      <c r="F37" s="43"/>
      <c r="G37" s="17"/>
      <c r="H37" s="18"/>
    </row>
    <row r="38" spans="2:9" x14ac:dyDescent="0.3">
      <c r="B38" s="11"/>
      <c r="C38" s="11" t="s">
        <v>71</v>
      </c>
      <c r="D38" s="11"/>
      <c r="E38" s="11"/>
      <c r="F38" s="42"/>
      <c r="G38" s="12"/>
      <c r="H38" s="13">
        <f>SUBTOTAL(9,H6:H37)</f>
        <v>54611.614241759991</v>
      </c>
    </row>
    <row r="39" spans="2:9" x14ac:dyDescent="0.3">
      <c r="E39" s="47"/>
      <c r="F39" s="41"/>
      <c r="G39" s="9"/>
      <c r="H39" s="10">
        <f t="shared" si="0"/>
        <v>0</v>
      </c>
    </row>
    <row r="40" spans="2:9" x14ac:dyDescent="0.3">
      <c r="B40" t="s">
        <v>104</v>
      </c>
      <c r="E40" s="47">
        <f>VLOOKUP($A$4,zone_lu,5)</f>
        <v>0.15</v>
      </c>
      <c r="F40" s="41"/>
      <c r="G40" s="9"/>
      <c r="H40" s="10">
        <f>ROUND(H38*E40,0)</f>
        <v>8192</v>
      </c>
      <c r="I40" s="10">
        <f>ROUND(I38*F40,0)</f>
        <v>0</v>
      </c>
    </row>
    <row r="41" spans="2:9" x14ac:dyDescent="0.3">
      <c r="E41" s="47"/>
      <c r="F41" s="41"/>
      <c r="G41" s="9"/>
      <c r="H41" s="10"/>
      <c r="I41" s="10"/>
    </row>
    <row r="42" spans="2:9" x14ac:dyDescent="0.3">
      <c r="B42" t="s">
        <v>103</v>
      </c>
      <c r="E42" s="47">
        <f>VLOOKUP($A$4,zone_lu,6)</f>
        <v>0.1</v>
      </c>
      <c r="F42" s="41"/>
      <c r="G42" s="9"/>
      <c r="H42" s="10">
        <f>ROUND(SUM(H38:H41)*E42,0)</f>
        <v>6280</v>
      </c>
      <c r="I42" s="10"/>
    </row>
    <row r="43" spans="2:9" x14ac:dyDescent="0.3">
      <c r="B43" t="s">
        <v>127</v>
      </c>
      <c r="E43" s="47"/>
      <c r="F43" s="41"/>
      <c r="G43" s="9"/>
      <c r="H43" s="10"/>
      <c r="I43" s="10"/>
    </row>
    <row r="44" spans="2:9" x14ac:dyDescent="0.3">
      <c r="E44" s="47"/>
      <c r="F44" s="41"/>
      <c r="G44" s="9"/>
      <c r="H44" s="10"/>
      <c r="I44" s="10"/>
    </row>
    <row r="45" spans="2:9" x14ac:dyDescent="0.3">
      <c r="E45" s="47">
        <f>VLOOKUP($A$4,zone_lu,8)</f>
        <v>0</v>
      </c>
      <c r="F45" s="41"/>
      <c r="G45" s="9"/>
      <c r="H45" s="10">
        <f>ROUND(SUM(H37:H44)*E45,0)</f>
        <v>0</v>
      </c>
      <c r="I45" s="10"/>
    </row>
    <row r="46" spans="2:9" x14ac:dyDescent="0.3">
      <c r="B46" t="s">
        <v>105</v>
      </c>
      <c r="E46" s="19">
        <f>VLOOKUP($A$4,zone_lu,7)</f>
        <v>1.2500000000000001E-2</v>
      </c>
      <c r="F46" s="41"/>
      <c r="G46" s="9"/>
      <c r="H46" s="10">
        <f>ROUND(SUM(H38:H43)*E46,0)</f>
        <v>864</v>
      </c>
      <c r="I46" s="10"/>
    </row>
    <row r="48" spans="2:9" ht="15" thickBot="1" x14ac:dyDescent="0.35">
      <c r="B48" s="33" t="s">
        <v>72</v>
      </c>
      <c r="C48" s="33"/>
      <c r="D48" s="33"/>
      <c r="E48" s="33"/>
      <c r="F48" s="44"/>
      <c r="G48" s="33"/>
      <c r="H48" s="34">
        <f>SUBTOTAL(9,H6:H47)</f>
        <v>69947.614241759991</v>
      </c>
    </row>
    <row r="49" ht="15" thickTop="1" x14ac:dyDescent="0.3"/>
  </sheetData>
  <mergeCells count="1">
    <mergeCell ref="A4:C4"/>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35"/>
  <dimension ref="A1:O49"/>
  <sheetViews>
    <sheetView showGridLines="0" topLeftCell="A6"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Pre-1978</v>
      </c>
    </row>
    <row r="2" spans="1:15" x14ac:dyDescent="0.3">
      <c r="A2" t="s">
        <v>69</v>
      </c>
    </row>
    <row r="3" spans="1:15" x14ac:dyDescent="0.3">
      <c r="A3" t="s">
        <v>49</v>
      </c>
    </row>
    <row r="4" spans="1:15" ht="14.4" customHeight="1" x14ac:dyDescent="0.3">
      <c r="A4" s="88">
        <v>10</v>
      </c>
      <c r="B4" s="88"/>
      <c r="C4" s="88"/>
    </row>
    <row r="6" spans="1:15" x14ac:dyDescent="0.3">
      <c r="B6" t="s">
        <v>50</v>
      </c>
      <c r="F6" s="41"/>
      <c r="G6" s="9"/>
      <c r="H6" s="8"/>
    </row>
    <row r="7" spans="1:15" x14ac:dyDescent="0.3">
      <c r="C7" t="s">
        <v>120</v>
      </c>
      <c r="F7" s="41"/>
      <c r="G7" s="9"/>
      <c r="H7" s="8"/>
    </row>
    <row r="8" spans="1:15" x14ac:dyDescent="0.3">
      <c r="D8" t="s">
        <v>54</v>
      </c>
      <c r="E8">
        <v>48</v>
      </c>
      <c r="F8" s="41" t="s">
        <v>58</v>
      </c>
      <c r="G8" s="9">
        <f>VLOOKUP($A$4,zone_lu,4)</f>
        <v>58.866228829999997</v>
      </c>
      <c r="H8" s="10">
        <f>E8*G8</f>
        <v>2825.5789838399996</v>
      </c>
    </row>
    <row r="9" spans="1:15" x14ac:dyDescent="0.3">
      <c r="D9" t="s">
        <v>59</v>
      </c>
      <c r="E9">
        <v>8</v>
      </c>
      <c r="F9" s="41" t="s">
        <v>60</v>
      </c>
      <c r="G9" s="9">
        <v>500</v>
      </c>
      <c r="H9" s="10">
        <f t="shared" ref="H9:H38" si="0">E9*G9</f>
        <v>4000</v>
      </c>
    </row>
    <row r="10" spans="1:15" x14ac:dyDescent="0.3">
      <c r="E10" s="11"/>
      <c r="F10" s="42"/>
      <c r="G10" s="12"/>
      <c r="H10" s="13">
        <f>SUBTOTAL(9,H6:H9)</f>
        <v>6825.5789838399996</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s="23" t="s">
        <v>61</v>
      </c>
      <c r="E14">
        <v>8</v>
      </c>
      <c r="F14" s="41" t="s">
        <v>62</v>
      </c>
      <c r="G14" s="29">
        <v>950</v>
      </c>
      <c r="H14" s="10">
        <f t="shared" si="0"/>
        <v>7600</v>
      </c>
    </row>
    <row r="15" spans="1:15" x14ac:dyDescent="0.3">
      <c r="D15" s="22" t="s">
        <v>87</v>
      </c>
      <c r="F15" s="41"/>
      <c r="G15" s="9"/>
      <c r="H15" s="10">
        <f t="shared" si="0"/>
        <v>0</v>
      </c>
    </row>
    <row r="16" spans="1:15" x14ac:dyDescent="0.3">
      <c r="D16" s="23" t="s">
        <v>64</v>
      </c>
      <c r="E16">
        <v>8</v>
      </c>
      <c r="F16" s="41" t="s">
        <v>60</v>
      </c>
      <c r="G16" s="9">
        <v>250</v>
      </c>
      <c r="H16" s="10">
        <f t="shared" si="0"/>
        <v>2000</v>
      </c>
    </row>
    <row r="17" spans="3:8" x14ac:dyDescent="0.3">
      <c r="D17" s="23" t="s">
        <v>54</v>
      </c>
      <c r="E17">
        <v>96</v>
      </c>
      <c r="F17" s="41" t="s">
        <v>58</v>
      </c>
      <c r="G17" s="9">
        <f>VLOOKUP($A$4,zone_lu,4)</f>
        <v>58.866228829999997</v>
      </c>
      <c r="H17" s="10">
        <f t="shared" si="0"/>
        <v>5651.1579676799993</v>
      </c>
    </row>
    <row r="18" spans="3:8" x14ac:dyDescent="0.3">
      <c r="C18" t="s">
        <v>52</v>
      </c>
      <c r="D18" s="23"/>
      <c r="F18" s="41"/>
      <c r="G18" s="9"/>
      <c r="H18" s="10">
        <f t="shared" si="0"/>
        <v>0</v>
      </c>
    </row>
    <row r="19" spans="3:8" x14ac:dyDescent="0.3">
      <c r="D19" s="23" t="s">
        <v>66</v>
      </c>
      <c r="E19">
        <v>16</v>
      </c>
      <c r="F19" s="41" t="s">
        <v>62</v>
      </c>
      <c r="G19" s="29">
        <v>1400</v>
      </c>
      <c r="H19" s="10">
        <f t="shared" si="0"/>
        <v>22400</v>
      </c>
    </row>
    <row r="20" spans="3:8" x14ac:dyDescent="0.3">
      <c r="D20" s="22" t="s">
        <v>93</v>
      </c>
      <c r="F20" s="41"/>
      <c r="G20" s="9"/>
      <c r="H20" s="10">
        <f t="shared" si="0"/>
        <v>0</v>
      </c>
    </row>
    <row r="21" spans="3:8" x14ac:dyDescent="0.3">
      <c r="D21" s="25" t="s">
        <v>68</v>
      </c>
      <c r="F21" s="41"/>
      <c r="G21" s="9"/>
      <c r="H21" s="39" t="s">
        <v>112</v>
      </c>
    </row>
    <row r="22" spans="3:8" x14ac:dyDescent="0.3">
      <c r="D22" s="15" t="s">
        <v>114</v>
      </c>
      <c r="F22" s="41"/>
      <c r="G22" s="9"/>
      <c r="H22" s="39" t="s">
        <v>112</v>
      </c>
    </row>
    <row r="23" spans="3:8" x14ac:dyDescent="0.3">
      <c r="D23" t="s">
        <v>64</v>
      </c>
      <c r="E23">
        <v>8</v>
      </c>
      <c r="F23" s="41" t="s">
        <v>60</v>
      </c>
      <c r="G23" s="9">
        <v>200</v>
      </c>
      <c r="H23" s="10">
        <f t="shared" si="0"/>
        <v>1600</v>
      </c>
    </row>
    <row r="24" spans="3:8" x14ac:dyDescent="0.3">
      <c r="D24" t="s">
        <v>54</v>
      </c>
      <c r="E24">
        <v>32</v>
      </c>
      <c r="F24" s="41" t="s">
        <v>58</v>
      </c>
      <c r="G24" s="9">
        <f>VLOOKUP($A$4,zone_lu,4)</f>
        <v>58.866228829999997</v>
      </c>
      <c r="H24" s="10">
        <f t="shared" si="0"/>
        <v>1883.7193225599999</v>
      </c>
    </row>
    <row r="25" spans="3:8" x14ac:dyDescent="0.3">
      <c r="C25" t="s">
        <v>106</v>
      </c>
      <c r="F25" s="41"/>
      <c r="G25" s="9"/>
      <c r="H25" s="10"/>
    </row>
    <row r="26" spans="3:8" x14ac:dyDescent="0.3">
      <c r="D26" t="s">
        <v>111</v>
      </c>
      <c r="E26">
        <v>8</v>
      </c>
      <c r="F26" s="41" t="s">
        <v>62</v>
      </c>
      <c r="G26" s="9">
        <v>400</v>
      </c>
      <c r="H26" s="10">
        <f t="shared" si="0"/>
        <v>3200</v>
      </c>
    </row>
    <row r="27" spans="3:8" x14ac:dyDescent="0.3">
      <c r="C27" t="s">
        <v>128</v>
      </c>
      <c r="F27" s="41"/>
      <c r="G27" s="9"/>
      <c r="H27" s="10"/>
    </row>
    <row r="28" spans="3:8" x14ac:dyDescent="0.3">
      <c r="D28" t="s">
        <v>129</v>
      </c>
      <c r="E28">
        <v>8</v>
      </c>
      <c r="F28" s="41" t="s">
        <v>62</v>
      </c>
      <c r="G28" s="9">
        <v>125</v>
      </c>
      <c r="H28" s="10">
        <f t="shared" si="0"/>
        <v>1000</v>
      </c>
    </row>
    <row r="29" spans="3:8" x14ac:dyDescent="0.3">
      <c r="D29" t="s">
        <v>130</v>
      </c>
      <c r="F29" s="41"/>
      <c r="G29" s="9"/>
      <c r="H29" s="39" t="s">
        <v>112</v>
      </c>
    </row>
    <row r="30" spans="3:8" x14ac:dyDescent="0.3">
      <c r="D30" t="s">
        <v>131</v>
      </c>
      <c r="F30" s="41"/>
      <c r="G30" s="9"/>
      <c r="H30" s="48" t="s">
        <v>15</v>
      </c>
    </row>
    <row r="31" spans="3:8" x14ac:dyDescent="0.3">
      <c r="D31" t="s">
        <v>54</v>
      </c>
      <c r="E31">
        <v>96</v>
      </c>
      <c r="F31" s="41" t="s">
        <v>58</v>
      </c>
      <c r="G31" s="9">
        <f>VLOOKUP($A$4,zone_lu,4)</f>
        <v>58.866228829999997</v>
      </c>
      <c r="H31" s="10">
        <f t="shared" si="0"/>
        <v>5651.1579676799993</v>
      </c>
    </row>
    <row r="32" spans="3:8" x14ac:dyDescent="0.3">
      <c r="C32" t="s">
        <v>107</v>
      </c>
      <c r="F32" s="41"/>
      <c r="G32" s="9"/>
      <c r="H32" s="10">
        <f t="shared" si="0"/>
        <v>0</v>
      </c>
    </row>
    <row r="33" spans="2:9" x14ac:dyDescent="0.3">
      <c r="D33" t="s">
        <v>64</v>
      </c>
      <c r="F33" s="41"/>
      <c r="G33" s="9"/>
      <c r="H33" s="39" t="s">
        <v>112</v>
      </c>
    </row>
    <row r="34" spans="2:9" x14ac:dyDescent="0.3">
      <c r="D34" t="s">
        <v>54</v>
      </c>
      <c r="F34" s="41"/>
      <c r="G34" s="9"/>
      <c r="H34" s="39" t="s">
        <v>112</v>
      </c>
    </row>
    <row r="35" spans="2:9" x14ac:dyDescent="0.3">
      <c r="F35" s="41"/>
      <c r="G35" s="9"/>
      <c r="H35" s="39" t="s">
        <v>112</v>
      </c>
    </row>
    <row r="36" spans="2:9" x14ac:dyDescent="0.3">
      <c r="E36" s="16"/>
      <c r="F36" s="43"/>
      <c r="G36" s="17"/>
      <c r="H36" s="18"/>
    </row>
    <row r="37" spans="2:9" x14ac:dyDescent="0.3">
      <c r="B37" s="11"/>
      <c r="C37" s="11" t="s">
        <v>71</v>
      </c>
      <c r="D37" s="11"/>
      <c r="E37" s="11"/>
      <c r="F37" s="42"/>
      <c r="G37" s="12"/>
      <c r="H37" s="13">
        <f>SUBTOTAL(9,H6:H36)</f>
        <v>57811.614241759991</v>
      </c>
    </row>
    <row r="38" spans="2:9" x14ac:dyDescent="0.3">
      <c r="F38" s="41"/>
      <c r="G38" s="9"/>
      <c r="H38" s="10">
        <f t="shared" si="0"/>
        <v>0</v>
      </c>
    </row>
    <row r="39" spans="2:9" x14ac:dyDescent="0.3">
      <c r="B39" t="s">
        <v>104</v>
      </c>
      <c r="E39" s="47">
        <f>VLOOKUP($A$4,zone_lu,5)</f>
        <v>0.15</v>
      </c>
      <c r="F39" s="41"/>
      <c r="G39" s="9"/>
      <c r="H39" s="10">
        <f>ROUND(H37*E39,0)</f>
        <v>8672</v>
      </c>
      <c r="I39" s="10">
        <f>ROUND(I37*F39,0)</f>
        <v>0</v>
      </c>
    </row>
    <row r="40" spans="2:9" x14ac:dyDescent="0.3">
      <c r="E40" s="47"/>
      <c r="F40" s="41"/>
      <c r="G40" s="9"/>
      <c r="H40" s="10"/>
      <c r="I40" s="10"/>
    </row>
    <row r="41" spans="2:9" x14ac:dyDescent="0.3">
      <c r="B41" t="s">
        <v>103</v>
      </c>
      <c r="E41" s="47">
        <f>VLOOKUP($A$4,zone_lu,6)</f>
        <v>0.1</v>
      </c>
      <c r="F41" s="41"/>
      <c r="G41" s="9"/>
      <c r="H41" s="10">
        <f>ROUND(SUM(H37:H40)*E41,0)</f>
        <v>6648</v>
      </c>
      <c r="I41" s="10"/>
    </row>
    <row r="42" spans="2:9" x14ac:dyDescent="0.3">
      <c r="E42" s="47"/>
      <c r="F42" s="41"/>
      <c r="G42" s="9"/>
      <c r="H42" s="10"/>
      <c r="I42" s="10"/>
    </row>
    <row r="43" spans="2:9" x14ac:dyDescent="0.3">
      <c r="B43" t="s">
        <v>127</v>
      </c>
      <c r="E43" s="47">
        <f>VLOOKUP($A$4,zone_lu,7)</f>
        <v>1.2500000000000001E-2</v>
      </c>
      <c r="F43" s="41"/>
      <c r="G43" s="9"/>
      <c r="H43" s="10">
        <f>ROUND(SUM(H37:H42)*E43,0)</f>
        <v>914</v>
      </c>
      <c r="I43" s="10"/>
    </row>
    <row r="44" spans="2:9" x14ac:dyDescent="0.3">
      <c r="E44" s="47"/>
      <c r="F44" s="41"/>
      <c r="G44" s="9"/>
      <c r="H44" s="10"/>
      <c r="I44" s="10"/>
    </row>
    <row r="45" spans="2:9" x14ac:dyDescent="0.3">
      <c r="B45" t="s">
        <v>105</v>
      </c>
      <c r="E45" s="47">
        <f>VLOOKUP($A$4,zone_lu,8)</f>
        <v>0</v>
      </c>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74045.614241759991</v>
      </c>
    </row>
    <row r="49" ht="15" thickTop="1" x14ac:dyDescent="0.3"/>
  </sheetData>
  <mergeCells count="1">
    <mergeCell ref="A4:C4"/>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37"/>
  <dimension ref="A1:O49"/>
  <sheetViews>
    <sheetView showGridLines="0" topLeftCell="A6"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Pre-1978</v>
      </c>
    </row>
    <row r="2" spans="1:15" x14ac:dyDescent="0.3">
      <c r="A2" t="s">
        <v>69</v>
      </c>
    </row>
    <row r="3" spans="1:15" x14ac:dyDescent="0.3">
      <c r="A3" t="s">
        <v>49</v>
      </c>
    </row>
    <row r="4" spans="1:15" ht="14.4" customHeight="1" x14ac:dyDescent="0.3">
      <c r="A4" s="88">
        <v>12</v>
      </c>
      <c r="B4" s="88"/>
      <c r="C4" s="88"/>
    </row>
    <row r="6" spans="1:15" x14ac:dyDescent="0.3">
      <c r="B6" t="s">
        <v>50</v>
      </c>
      <c r="F6" s="41"/>
      <c r="G6" s="9"/>
      <c r="H6" s="8"/>
    </row>
    <row r="7" spans="1:15" x14ac:dyDescent="0.3">
      <c r="C7" t="s">
        <v>120</v>
      </c>
      <c r="F7" s="41"/>
      <c r="G7" s="9"/>
      <c r="H7" s="8"/>
    </row>
    <row r="8" spans="1:15" x14ac:dyDescent="0.3">
      <c r="D8" t="s">
        <v>54</v>
      </c>
      <c r="E8">
        <v>48</v>
      </c>
      <c r="F8" s="41" t="s">
        <v>58</v>
      </c>
      <c r="G8" s="9">
        <f>VLOOKUP($A$4,zone_lu,4)</f>
        <v>58.866228829999997</v>
      </c>
      <c r="H8" s="10">
        <f>E8*G8</f>
        <v>2825.5789838399996</v>
      </c>
    </row>
    <row r="9" spans="1:15" x14ac:dyDescent="0.3">
      <c r="D9" t="s">
        <v>59</v>
      </c>
      <c r="E9">
        <v>8</v>
      </c>
      <c r="F9" s="41" t="s">
        <v>60</v>
      </c>
      <c r="G9" s="9">
        <v>500</v>
      </c>
      <c r="H9" s="10">
        <f t="shared" ref="H9:H38" si="0">E9*G9</f>
        <v>4000</v>
      </c>
    </row>
    <row r="10" spans="1:15" x14ac:dyDescent="0.3">
      <c r="E10" s="11"/>
      <c r="F10" s="42"/>
      <c r="G10" s="12"/>
      <c r="H10" s="13">
        <f>SUBTOTAL(9,H6:H9)</f>
        <v>6825.5789838399996</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8</v>
      </c>
      <c r="F14" s="41" t="s">
        <v>62</v>
      </c>
      <c r="G14" s="29">
        <v>950</v>
      </c>
      <c r="H14" s="10">
        <f t="shared" si="0"/>
        <v>7600</v>
      </c>
    </row>
    <row r="15" spans="1:15" x14ac:dyDescent="0.3">
      <c r="D15" s="22" t="s">
        <v>87</v>
      </c>
      <c r="F15" s="41"/>
      <c r="G15" s="9"/>
      <c r="H15" s="10">
        <f t="shared" si="0"/>
        <v>0</v>
      </c>
    </row>
    <row r="16" spans="1:15" x14ac:dyDescent="0.3">
      <c r="D16" s="23" t="s">
        <v>64</v>
      </c>
      <c r="E16">
        <v>8</v>
      </c>
      <c r="F16" s="41" t="s">
        <v>60</v>
      </c>
      <c r="G16" s="9">
        <v>250</v>
      </c>
      <c r="H16" s="10">
        <f t="shared" si="0"/>
        <v>2000</v>
      </c>
    </row>
    <row r="17" spans="3:8" x14ac:dyDescent="0.3">
      <c r="D17" s="23" t="s">
        <v>54</v>
      </c>
      <c r="E17">
        <v>96</v>
      </c>
      <c r="F17" s="41" t="s">
        <v>58</v>
      </c>
      <c r="G17" s="9">
        <f>VLOOKUP($A$4,zone_lu,4)</f>
        <v>58.866228829999997</v>
      </c>
      <c r="H17" s="10">
        <f t="shared" si="0"/>
        <v>5651.1579676799993</v>
      </c>
    </row>
    <row r="18" spans="3:8" x14ac:dyDescent="0.3">
      <c r="C18" t="s">
        <v>52</v>
      </c>
      <c r="D18" s="23"/>
      <c r="F18" s="41"/>
      <c r="G18" s="9"/>
      <c r="H18" s="10">
        <f t="shared" si="0"/>
        <v>0</v>
      </c>
    </row>
    <row r="19" spans="3:8" x14ac:dyDescent="0.3">
      <c r="D19" s="23" t="s">
        <v>66</v>
      </c>
      <c r="E19">
        <v>16</v>
      </c>
      <c r="F19" s="41" t="s">
        <v>62</v>
      </c>
      <c r="G19" s="29">
        <v>1400</v>
      </c>
      <c r="H19" s="10">
        <f t="shared" si="0"/>
        <v>22400</v>
      </c>
    </row>
    <row r="20" spans="3:8" x14ac:dyDescent="0.3">
      <c r="D20" s="22" t="s">
        <v>93</v>
      </c>
      <c r="F20" s="41"/>
      <c r="G20" s="9"/>
      <c r="H20" s="10">
        <f t="shared" si="0"/>
        <v>0</v>
      </c>
    </row>
    <row r="21" spans="3:8" x14ac:dyDescent="0.3">
      <c r="D21" s="25" t="s">
        <v>68</v>
      </c>
      <c r="F21" s="41"/>
      <c r="G21" s="9"/>
      <c r="H21" s="39" t="s">
        <v>112</v>
      </c>
    </row>
    <row r="22" spans="3:8" x14ac:dyDescent="0.3">
      <c r="D22" s="25" t="s">
        <v>114</v>
      </c>
      <c r="F22" s="41"/>
      <c r="G22" s="9"/>
      <c r="H22" s="39" t="s">
        <v>112</v>
      </c>
    </row>
    <row r="23" spans="3:8" x14ac:dyDescent="0.3">
      <c r="D23" t="s">
        <v>64</v>
      </c>
      <c r="E23">
        <v>8</v>
      </c>
      <c r="F23" s="41" t="s">
        <v>60</v>
      </c>
      <c r="G23" s="9">
        <v>200</v>
      </c>
      <c r="H23" s="10">
        <f t="shared" si="0"/>
        <v>1600</v>
      </c>
    </row>
    <row r="24" spans="3:8" x14ac:dyDescent="0.3">
      <c r="D24" t="s">
        <v>54</v>
      </c>
      <c r="E24">
        <v>32</v>
      </c>
      <c r="F24" s="41" t="s">
        <v>58</v>
      </c>
      <c r="G24" s="9">
        <f>VLOOKUP($A$4,zone_lu,4)</f>
        <v>58.866228829999997</v>
      </c>
      <c r="H24" s="10">
        <f t="shared" si="0"/>
        <v>1883.7193225599999</v>
      </c>
    </row>
    <row r="25" spans="3:8" x14ac:dyDescent="0.3">
      <c r="C25" t="s">
        <v>106</v>
      </c>
      <c r="F25" s="41"/>
      <c r="G25" s="9"/>
      <c r="H25" s="10"/>
    </row>
    <row r="26" spans="3:8" x14ac:dyDescent="0.3">
      <c r="D26" t="s">
        <v>111</v>
      </c>
      <c r="E26">
        <v>8</v>
      </c>
      <c r="F26" s="41" t="s">
        <v>62</v>
      </c>
      <c r="G26" s="9">
        <v>400</v>
      </c>
      <c r="H26" s="10">
        <f t="shared" si="0"/>
        <v>3200</v>
      </c>
    </row>
    <row r="27" spans="3:8" x14ac:dyDescent="0.3">
      <c r="C27" t="s">
        <v>128</v>
      </c>
      <c r="F27" s="41"/>
      <c r="G27" s="9"/>
      <c r="H27" s="10"/>
    </row>
    <row r="28" spans="3:8" x14ac:dyDescent="0.3">
      <c r="D28" t="s">
        <v>129</v>
      </c>
      <c r="E28">
        <v>8</v>
      </c>
      <c r="F28" s="41" t="s">
        <v>62</v>
      </c>
      <c r="G28" s="9">
        <v>125</v>
      </c>
      <c r="H28" s="10">
        <f t="shared" si="0"/>
        <v>1000</v>
      </c>
    </row>
    <row r="29" spans="3:8" x14ac:dyDescent="0.3">
      <c r="D29" t="s">
        <v>130</v>
      </c>
      <c r="F29" s="41"/>
      <c r="G29" s="9"/>
      <c r="H29" s="39" t="s">
        <v>112</v>
      </c>
    </row>
    <row r="30" spans="3:8" x14ac:dyDescent="0.3">
      <c r="D30" t="s">
        <v>131</v>
      </c>
      <c r="F30" s="41"/>
      <c r="G30" s="9"/>
      <c r="H30" s="48" t="s">
        <v>15</v>
      </c>
    </row>
    <row r="31" spans="3:8" x14ac:dyDescent="0.3">
      <c r="D31" t="s">
        <v>54</v>
      </c>
      <c r="E31">
        <v>96</v>
      </c>
      <c r="F31" s="41" t="s">
        <v>58</v>
      </c>
      <c r="G31" s="9">
        <f>VLOOKUP($A$4,zone_lu,4)</f>
        <v>58.866228829999997</v>
      </c>
      <c r="H31" s="10">
        <f t="shared" si="0"/>
        <v>5651.1579676799993</v>
      </c>
    </row>
    <row r="32" spans="3:8" x14ac:dyDescent="0.3">
      <c r="C32" t="s">
        <v>107</v>
      </c>
      <c r="F32" s="41"/>
      <c r="G32" s="9"/>
      <c r="H32" s="10">
        <f t="shared" si="0"/>
        <v>0</v>
      </c>
    </row>
    <row r="33" spans="2:9" x14ac:dyDescent="0.3">
      <c r="D33" t="s">
        <v>64</v>
      </c>
      <c r="F33" s="41"/>
      <c r="G33" s="9"/>
      <c r="H33" s="39" t="s">
        <v>112</v>
      </c>
    </row>
    <row r="34" spans="2:9" x14ac:dyDescent="0.3">
      <c r="D34" t="s">
        <v>54</v>
      </c>
      <c r="F34" s="41"/>
      <c r="G34" s="9"/>
      <c r="H34" s="39" t="s">
        <v>112</v>
      </c>
    </row>
    <row r="35" spans="2:9" x14ac:dyDescent="0.3">
      <c r="F35" s="41"/>
      <c r="G35" s="9"/>
      <c r="H35" s="39" t="s">
        <v>112</v>
      </c>
    </row>
    <row r="36" spans="2:9" x14ac:dyDescent="0.3">
      <c r="E36" s="16"/>
      <c r="F36" s="43"/>
      <c r="G36" s="17"/>
      <c r="H36" s="18"/>
    </row>
    <row r="37" spans="2:9" x14ac:dyDescent="0.3">
      <c r="B37" s="11"/>
      <c r="C37" s="11" t="s">
        <v>71</v>
      </c>
      <c r="D37" s="11"/>
      <c r="E37" s="11"/>
      <c r="F37" s="42"/>
      <c r="G37" s="12"/>
      <c r="H37" s="13">
        <f>SUBTOTAL(9,H6:H36)</f>
        <v>57811.614241759991</v>
      </c>
    </row>
    <row r="38" spans="2:9" x14ac:dyDescent="0.3">
      <c r="F38" s="41"/>
      <c r="G38" s="9"/>
      <c r="H38" s="10">
        <f t="shared" si="0"/>
        <v>0</v>
      </c>
    </row>
    <row r="39" spans="2:9" x14ac:dyDescent="0.3">
      <c r="B39" t="s">
        <v>104</v>
      </c>
      <c r="E39" s="47">
        <f>VLOOKUP($A$4,zone_lu,5)</f>
        <v>0.15</v>
      </c>
      <c r="F39" s="41"/>
      <c r="G39" s="9"/>
      <c r="H39" s="10">
        <f>ROUND(H37*E39,0)</f>
        <v>8672</v>
      </c>
      <c r="I39" s="10">
        <f>ROUND(I37*F39,0)</f>
        <v>0</v>
      </c>
    </row>
    <row r="40" spans="2:9" x14ac:dyDescent="0.3">
      <c r="E40" s="47"/>
      <c r="F40" s="41"/>
      <c r="G40" s="9"/>
      <c r="H40" s="10"/>
      <c r="I40" s="10"/>
    </row>
    <row r="41" spans="2:9" x14ac:dyDescent="0.3">
      <c r="B41" t="s">
        <v>103</v>
      </c>
      <c r="E41" s="47">
        <f>VLOOKUP($A$4,zone_lu,6)</f>
        <v>0.1</v>
      </c>
      <c r="F41" s="41"/>
      <c r="G41" s="9"/>
      <c r="H41" s="10">
        <f>ROUND(SUM(H37:H40)*E41,0)</f>
        <v>6648</v>
      </c>
      <c r="I41" s="10"/>
    </row>
    <row r="42" spans="2:9" x14ac:dyDescent="0.3">
      <c r="E42" s="47"/>
      <c r="F42" s="41"/>
      <c r="G42" s="9"/>
      <c r="H42" s="10"/>
      <c r="I42" s="10"/>
    </row>
    <row r="43" spans="2:9" x14ac:dyDescent="0.3">
      <c r="B43" t="s">
        <v>127</v>
      </c>
      <c r="E43" s="47">
        <f>VLOOKUP($A$4,zone_lu,7)</f>
        <v>1.2500000000000001E-2</v>
      </c>
      <c r="F43" s="41"/>
      <c r="G43" s="9"/>
      <c r="H43" s="10">
        <f>ROUND(SUM(H37:H42)*E43,0)</f>
        <v>914</v>
      </c>
      <c r="I43" s="10"/>
    </row>
    <row r="44" spans="2:9" x14ac:dyDescent="0.3">
      <c r="E44" s="47"/>
      <c r="F44" s="41"/>
      <c r="G44" s="9"/>
      <c r="H44" s="10"/>
      <c r="I44" s="10"/>
    </row>
    <row r="45" spans="2:9" x14ac:dyDescent="0.3">
      <c r="B45" t="s">
        <v>105</v>
      </c>
      <c r="E45" s="47">
        <f>VLOOKUP($A$4,zone_lu,8)</f>
        <v>0</v>
      </c>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74045.614241759991</v>
      </c>
    </row>
    <row r="49" ht="15" thickTop="1" x14ac:dyDescent="0.3"/>
  </sheetData>
  <mergeCells count="1">
    <mergeCell ref="A4:C4"/>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4"/>
  <dimension ref="A1:O49"/>
  <sheetViews>
    <sheetView showGridLines="0" topLeftCell="A4" zoomScale="90" zoomScaleNormal="90" workbookViewId="0">
      <selection activeCell="G21" sqref="G21"/>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O1" t="str">
        <f>A1&amp;": "&amp;A2</f>
        <v>Low Rise Multi-Family: New Construction</v>
      </c>
    </row>
    <row r="2" spans="1:15" x14ac:dyDescent="0.3">
      <c r="A2" t="s">
        <v>0</v>
      </c>
    </row>
    <row r="3" spans="1:15" x14ac:dyDescent="0.3">
      <c r="A3" t="s">
        <v>70</v>
      </c>
      <c r="F3" s="41"/>
      <c r="G3" s="9"/>
      <c r="H3" s="8"/>
    </row>
    <row r="4" spans="1:15" ht="14.4" customHeight="1" x14ac:dyDescent="0.3">
      <c r="A4" s="88">
        <v>3</v>
      </c>
      <c r="B4" s="88"/>
      <c r="C4" s="88"/>
    </row>
    <row r="6" spans="1:15" x14ac:dyDescent="0.3">
      <c r="B6" t="s">
        <v>50</v>
      </c>
      <c r="F6" s="41"/>
      <c r="G6" s="9"/>
      <c r="H6" s="8"/>
    </row>
    <row r="7" spans="1:15" x14ac:dyDescent="0.3">
      <c r="C7" t="s">
        <v>120</v>
      </c>
      <c r="F7" s="41"/>
      <c r="G7" s="9"/>
      <c r="H7" s="36" t="s">
        <v>116</v>
      </c>
    </row>
    <row r="8" spans="1:15" x14ac:dyDescent="0.3">
      <c r="D8" t="s">
        <v>54</v>
      </c>
      <c r="F8" s="41"/>
      <c r="G8" s="10"/>
      <c r="H8" s="10"/>
    </row>
    <row r="9" spans="1:15" x14ac:dyDescent="0.3">
      <c r="D9" t="s">
        <v>59</v>
      </c>
      <c r="F9" s="41"/>
      <c r="G9" s="10"/>
      <c r="H9" s="10"/>
    </row>
    <row r="10" spans="1:15" x14ac:dyDescent="0.3">
      <c r="E10" s="11"/>
      <c r="F10" s="42"/>
      <c r="G10" s="12"/>
      <c r="H10" s="13">
        <f>SUBTOTAL(9,H6:H9)</f>
        <v>0</v>
      </c>
    </row>
    <row r="11" spans="1:15" x14ac:dyDescent="0.3">
      <c r="F11" s="41"/>
      <c r="G11" s="9"/>
      <c r="H11" s="10">
        <f t="shared" ref="H11:H38" si="0">E11*G11</f>
        <v>0</v>
      </c>
    </row>
    <row r="12" spans="1:15" x14ac:dyDescent="0.3">
      <c r="B12" t="s">
        <v>51</v>
      </c>
      <c r="F12" s="41"/>
      <c r="G12" s="9"/>
      <c r="H12" s="10">
        <f t="shared" si="0"/>
        <v>0</v>
      </c>
    </row>
    <row r="13" spans="1:15" x14ac:dyDescent="0.3">
      <c r="C13" t="s">
        <v>53</v>
      </c>
      <c r="F13" s="41"/>
      <c r="G13" s="9"/>
      <c r="H13" s="39" t="s">
        <v>117</v>
      </c>
    </row>
    <row r="14" spans="1:15" x14ac:dyDescent="0.3">
      <c r="D14" t="s">
        <v>61</v>
      </c>
      <c r="F14" s="41"/>
      <c r="G14" s="28"/>
      <c r="H14" s="10"/>
    </row>
    <row r="15" spans="1:15" x14ac:dyDescent="0.3">
      <c r="D15" s="14" t="s">
        <v>73</v>
      </c>
      <c r="F15" s="41"/>
      <c r="G15" s="10"/>
      <c r="H15" s="10"/>
    </row>
    <row r="16" spans="1:15" x14ac:dyDescent="0.3">
      <c r="D16" t="s">
        <v>64</v>
      </c>
      <c r="F16" s="41"/>
      <c r="G16" s="10"/>
      <c r="H16" s="10"/>
    </row>
    <row r="17" spans="3:8" x14ac:dyDescent="0.3">
      <c r="D17" t="s">
        <v>54</v>
      </c>
      <c r="F17" s="41"/>
      <c r="G17" s="10"/>
      <c r="H17" s="10"/>
    </row>
    <row r="18" spans="3:8" x14ac:dyDescent="0.3">
      <c r="C18" t="s">
        <v>52</v>
      </c>
      <c r="F18" s="41"/>
      <c r="G18" s="9"/>
      <c r="H18" s="10">
        <f t="shared" si="0"/>
        <v>0</v>
      </c>
    </row>
    <row r="19" spans="3:8" ht="15" customHeight="1" x14ac:dyDescent="0.3">
      <c r="D19" t="s">
        <v>66</v>
      </c>
      <c r="E19">
        <v>8</v>
      </c>
      <c r="F19" s="41" t="s">
        <v>62</v>
      </c>
      <c r="G19" s="29">
        <v>4800</v>
      </c>
      <c r="H19" s="10">
        <f t="shared" si="0"/>
        <v>38400</v>
      </c>
    </row>
    <row r="20" spans="3:8" ht="28.8" x14ac:dyDescent="0.3">
      <c r="D20" s="24" t="s">
        <v>74</v>
      </c>
      <c r="F20" s="41"/>
      <c r="G20" s="9"/>
      <c r="H20" s="10">
        <f t="shared" si="0"/>
        <v>0</v>
      </c>
    </row>
    <row r="21" spans="3:8" x14ac:dyDescent="0.3">
      <c r="D21" s="15" t="s">
        <v>68</v>
      </c>
      <c r="E21">
        <v>8</v>
      </c>
      <c r="F21" s="41" t="s">
        <v>62</v>
      </c>
      <c r="G21" s="9">
        <v>100</v>
      </c>
      <c r="H21" s="10">
        <f t="shared" si="0"/>
        <v>800</v>
      </c>
    </row>
    <row r="22" spans="3:8" x14ac:dyDescent="0.3">
      <c r="D22" s="15" t="s">
        <v>114</v>
      </c>
      <c r="E22">
        <v>800</v>
      </c>
      <c r="F22" s="41" t="s">
        <v>67</v>
      </c>
      <c r="G22" s="9">
        <v>4</v>
      </c>
      <c r="H22" s="10">
        <f t="shared" si="0"/>
        <v>3200</v>
      </c>
    </row>
    <row r="23" spans="3:8" x14ac:dyDescent="0.3">
      <c r="D23" t="s">
        <v>64</v>
      </c>
      <c r="E23">
        <v>8</v>
      </c>
      <c r="F23" s="41" t="s">
        <v>60</v>
      </c>
      <c r="G23" s="9">
        <v>400</v>
      </c>
      <c r="H23" s="10">
        <f t="shared" si="0"/>
        <v>3200</v>
      </c>
    </row>
    <row r="24" spans="3:8" x14ac:dyDescent="0.3">
      <c r="D24" t="s">
        <v>54</v>
      </c>
      <c r="E24">
        <v>96</v>
      </c>
      <c r="F24" s="41" t="s">
        <v>58</v>
      </c>
      <c r="G24" s="10">
        <f>VLOOKUP($A$4,zone_lu,4)</f>
        <v>58.866228829999997</v>
      </c>
      <c r="H24" s="10">
        <f t="shared" si="0"/>
        <v>5651.1579676799993</v>
      </c>
    </row>
    <row r="25" spans="3:8" x14ac:dyDescent="0.3">
      <c r="C25" t="s">
        <v>106</v>
      </c>
      <c r="F25" s="41"/>
      <c r="G25" s="9"/>
      <c r="H25" s="10"/>
    </row>
    <row r="26" spans="3:8" x14ac:dyDescent="0.3">
      <c r="D26" t="s">
        <v>111</v>
      </c>
      <c r="E26">
        <v>8</v>
      </c>
      <c r="F26" s="41" t="s">
        <v>62</v>
      </c>
      <c r="G26" s="9">
        <v>400</v>
      </c>
      <c r="H26" s="10">
        <f t="shared" si="0"/>
        <v>3200</v>
      </c>
    </row>
    <row r="27" spans="3:8" x14ac:dyDescent="0.3">
      <c r="C27" t="s">
        <v>128</v>
      </c>
      <c r="F27" s="41"/>
      <c r="G27" s="9"/>
      <c r="H27" s="10"/>
    </row>
    <row r="28" spans="3:8" x14ac:dyDescent="0.3">
      <c r="D28" t="s">
        <v>129</v>
      </c>
      <c r="E28">
        <v>16</v>
      </c>
      <c r="F28" s="41" t="s">
        <v>62</v>
      </c>
      <c r="G28" s="9">
        <v>65</v>
      </c>
      <c r="H28" s="10">
        <f t="shared" si="0"/>
        <v>1040</v>
      </c>
    </row>
    <row r="29" spans="3:8" x14ac:dyDescent="0.3">
      <c r="D29" t="s">
        <v>130</v>
      </c>
      <c r="F29" s="41"/>
      <c r="G29" s="9"/>
      <c r="H29" s="36" t="s">
        <v>116</v>
      </c>
    </row>
    <row r="30" spans="3:8" x14ac:dyDescent="0.3">
      <c r="D30" t="s">
        <v>131</v>
      </c>
      <c r="F30" s="41"/>
      <c r="G30" s="9"/>
      <c r="H30" s="36" t="s">
        <v>116</v>
      </c>
    </row>
    <row r="31" spans="3:8" x14ac:dyDescent="0.3">
      <c r="D31" t="s">
        <v>54</v>
      </c>
      <c r="E31">
        <f>8*6</f>
        <v>48</v>
      </c>
      <c r="F31" s="41" t="s">
        <v>58</v>
      </c>
      <c r="G31" s="10">
        <f>VLOOKUP($A$4,zone_lu,4)</f>
        <v>58.866228829999997</v>
      </c>
      <c r="H31" s="10">
        <f t="shared" si="0"/>
        <v>2825.5789838399996</v>
      </c>
    </row>
    <row r="32" spans="3:8" x14ac:dyDescent="0.3">
      <c r="C32" t="s">
        <v>118</v>
      </c>
      <c r="F32" s="41"/>
      <c r="G32" s="9"/>
      <c r="H32" s="10">
        <f t="shared" si="0"/>
        <v>0</v>
      </c>
    </row>
    <row r="33" spans="2:9" x14ac:dyDescent="0.3">
      <c r="D33" t="s">
        <v>121</v>
      </c>
      <c r="F33" s="41"/>
      <c r="G33" s="9"/>
      <c r="H33" s="36" t="s">
        <v>132</v>
      </c>
    </row>
    <row r="34" spans="2:9" x14ac:dyDescent="0.3">
      <c r="D34" t="s">
        <v>54</v>
      </c>
      <c r="F34" s="41"/>
      <c r="G34" s="9"/>
      <c r="H34" s="36" t="s">
        <v>132</v>
      </c>
    </row>
    <row r="35" spans="2:9" x14ac:dyDescent="0.3">
      <c r="E35" s="11"/>
      <c r="F35" s="42"/>
      <c r="G35" s="12"/>
      <c r="H35" s="13">
        <f>SUBTOTAL(9,H12:H34)</f>
        <v>58316.736951520004</v>
      </c>
    </row>
    <row r="36" spans="2:9" x14ac:dyDescent="0.3">
      <c r="E36" s="16"/>
      <c r="F36" s="43"/>
      <c r="G36" s="17"/>
      <c r="H36" s="18"/>
    </row>
    <row r="37" spans="2:9" x14ac:dyDescent="0.3">
      <c r="B37" s="11"/>
      <c r="C37" s="11" t="s">
        <v>71</v>
      </c>
      <c r="D37" s="11"/>
      <c r="E37" s="11"/>
      <c r="F37" s="42"/>
      <c r="G37" s="12"/>
      <c r="H37" s="13">
        <f>SUBTOTAL(9,H6:H36)</f>
        <v>58316.736951520004</v>
      </c>
    </row>
    <row r="38" spans="2:9" x14ac:dyDescent="0.3">
      <c r="F38" s="41"/>
      <c r="G38" s="9"/>
      <c r="H38" s="10">
        <f t="shared" si="0"/>
        <v>0</v>
      </c>
    </row>
    <row r="39" spans="2:9" x14ac:dyDescent="0.3">
      <c r="B39" t="s">
        <v>104</v>
      </c>
      <c r="E39" s="49">
        <f>ROUND(VLOOKUP($A$4,zone_lu,5)*0.6,2)</f>
        <v>0.09</v>
      </c>
      <c r="F39" s="41"/>
      <c r="G39" s="9"/>
      <c r="H39" s="10">
        <f>ROUND(H37*E39,0)</f>
        <v>5249</v>
      </c>
      <c r="I39" s="10">
        <f>ROUND(I37*F39,0)</f>
        <v>0</v>
      </c>
    </row>
    <row r="40" spans="2:9" x14ac:dyDescent="0.3">
      <c r="E40" s="49"/>
      <c r="F40" s="41"/>
      <c r="G40" s="9"/>
      <c r="H40" s="10"/>
      <c r="I40" s="10"/>
    </row>
    <row r="41" spans="2:9" x14ac:dyDescent="0.3">
      <c r="B41" t="s">
        <v>103</v>
      </c>
      <c r="E41" s="49">
        <f>ROUND(VLOOKUP($A$4,zone_lu,6)*0.4,2)</f>
        <v>0.04</v>
      </c>
      <c r="F41" s="41"/>
      <c r="G41" s="9"/>
      <c r="H41" s="10">
        <f>ROUND(SUM(H37:H40)*E41,0)</f>
        <v>2543</v>
      </c>
      <c r="I41" s="10"/>
    </row>
    <row r="42" spans="2:9" x14ac:dyDescent="0.3">
      <c r="E42" s="49"/>
      <c r="F42" s="41"/>
      <c r="G42" s="9"/>
      <c r="H42" s="10"/>
      <c r="I42" s="10"/>
    </row>
    <row r="43" spans="2:9" x14ac:dyDescent="0.3">
      <c r="B43" t="s">
        <v>127</v>
      </c>
      <c r="E43" s="49">
        <f>VLOOKUP($A$4,zone_lu,7)</f>
        <v>1.2500000000000001E-2</v>
      </c>
      <c r="F43" s="41"/>
      <c r="G43" s="9"/>
      <c r="H43" s="10">
        <f>ROUND(SUM(H37:H42)*E43,0)</f>
        <v>826</v>
      </c>
      <c r="I43" s="10"/>
    </row>
    <row r="44" spans="2:9" x14ac:dyDescent="0.3">
      <c r="E44" s="49"/>
      <c r="F44" s="41"/>
      <c r="G44" s="9"/>
      <c r="H44" s="10"/>
      <c r="I44" s="10"/>
    </row>
    <row r="45" spans="2:9" x14ac:dyDescent="0.3">
      <c r="B45" t="s">
        <v>105</v>
      </c>
      <c r="E45" s="49"/>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66934.736951519997</v>
      </c>
    </row>
    <row r="49" ht="15" thickTop="1" x14ac:dyDescent="0.3"/>
  </sheetData>
  <mergeCells count="1">
    <mergeCell ref="A4:C4"/>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11"/>
  <dimension ref="A1:O49"/>
  <sheetViews>
    <sheetView showGridLines="0" zoomScale="90" zoomScaleNormal="90" workbookViewId="0">
      <selection activeCell="G20" sqref="G20"/>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O1" t="str">
        <f>A1&amp;": "&amp;A2</f>
        <v>Low Rise Multi-Family: New Construction</v>
      </c>
    </row>
    <row r="2" spans="1:15" x14ac:dyDescent="0.3">
      <c r="A2" t="s">
        <v>0</v>
      </c>
    </row>
    <row r="3" spans="1:15" x14ac:dyDescent="0.3">
      <c r="A3" t="s">
        <v>70</v>
      </c>
      <c r="F3" s="41"/>
      <c r="G3" s="9"/>
      <c r="H3" s="8"/>
    </row>
    <row r="4" spans="1:15" ht="14.4" customHeight="1" x14ac:dyDescent="0.3">
      <c r="A4" s="88">
        <v>3</v>
      </c>
      <c r="B4" s="88"/>
      <c r="C4" s="88"/>
    </row>
    <row r="6" spans="1:15" x14ac:dyDescent="0.3">
      <c r="B6" t="s">
        <v>50</v>
      </c>
      <c r="F6" s="41"/>
      <c r="G6" s="9"/>
      <c r="H6" s="8"/>
    </row>
    <row r="7" spans="1:15" x14ac:dyDescent="0.3">
      <c r="C7" t="s">
        <v>120</v>
      </c>
      <c r="F7" s="41"/>
      <c r="G7" s="9"/>
      <c r="H7" s="38" t="s">
        <v>116</v>
      </c>
    </row>
    <row r="8" spans="1:15" x14ac:dyDescent="0.3">
      <c r="D8" t="s">
        <v>54</v>
      </c>
      <c r="F8" s="41"/>
      <c r="G8" s="10"/>
      <c r="H8" s="10"/>
    </row>
    <row r="9" spans="1:15" x14ac:dyDescent="0.3">
      <c r="D9" t="s">
        <v>59</v>
      </c>
      <c r="F9" s="41"/>
      <c r="G9" s="10"/>
      <c r="H9" s="10"/>
    </row>
    <row r="10" spans="1:15" x14ac:dyDescent="0.3">
      <c r="E10" s="11"/>
      <c r="F10" s="42"/>
      <c r="G10" s="12"/>
      <c r="H10" s="13">
        <f>SUBTOTAL(9,H6:H9)</f>
        <v>0</v>
      </c>
    </row>
    <row r="11" spans="1:15" x14ac:dyDescent="0.3">
      <c r="F11" s="41"/>
      <c r="G11" s="9"/>
      <c r="H11" s="10">
        <f t="shared" ref="H11:H38" si="0">E11*G11</f>
        <v>0</v>
      </c>
    </row>
    <row r="12" spans="1:15" x14ac:dyDescent="0.3">
      <c r="B12" t="s">
        <v>51</v>
      </c>
      <c r="F12" s="41"/>
      <c r="G12" s="9"/>
      <c r="H12" s="10">
        <f t="shared" si="0"/>
        <v>0</v>
      </c>
    </row>
    <row r="13" spans="1:15" x14ac:dyDescent="0.3">
      <c r="C13" t="s">
        <v>53</v>
      </c>
      <c r="F13" s="41"/>
      <c r="G13" s="9"/>
      <c r="H13" s="39" t="s">
        <v>117</v>
      </c>
    </row>
    <row r="14" spans="1:15" x14ac:dyDescent="0.3">
      <c r="D14" t="s">
        <v>61</v>
      </c>
      <c r="F14" s="41"/>
      <c r="G14" s="28"/>
      <c r="H14" s="10"/>
    </row>
    <row r="15" spans="1:15" x14ac:dyDescent="0.3">
      <c r="D15" s="14" t="s">
        <v>73</v>
      </c>
      <c r="F15" s="41"/>
      <c r="G15" s="10"/>
      <c r="H15" s="10"/>
    </row>
    <row r="16" spans="1:15" x14ac:dyDescent="0.3">
      <c r="D16" t="s">
        <v>64</v>
      </c>
      <c r="F16" s="41"/>
      <c r="G16" s="10"/>
      <c r="H16" s="10"/>
    </row>
    <row r="17" spans="3:8" x14ac:dyDescent="0.3">
      <c r="D17" t="s">
        <v>54</v>
      </c>
      <c r="F17" s="41"/>
      <c r="G17" s="10"/>
      <c r="H17" s="10"/>
    </row>
    <row r="18" spans="3:8" x14ac:dyDescent="0.3">
      <c r="C18" t="s">
        <v>52</v>
      </c>
      <c r="F18" s="41"/>
      <c r="G18" s="9"/>
      <c r="H18" s="10">
        <f t="shared" si="0"/>
        <v>0</v>
      </c>
    </row>
    <row r="19" spans="3:8" x14ac:dyDescent="0.3">
      <c r="D19" t="s">
        <v>66</v>
      </c>
      <c r="E19">
        <v>8</v>
      </c>
      <c r="F19" s="41" t="s">
        <v>62</v>
      </c>
      <c r="G19" s="29">
        <v>4500</v>
      </c>
      <c r="H19" s="10">
        <f t="shared" si="0"/>
        <v>36000</v>
      </c>
    </row>
    <row r="20" spans="3:8" ht="28.8" x14ac:dyDescent="0.3">
      <c r="D20" s="24" t="s">
        <v>95</v>
      </c>
      <c r="F20" s="41"/>
      <c r="G20" s="9"/>
      <c r="H20" s="10">
        <f t="shared" si="0"/>
        <v>0</v>
      </c>
    </row>
    <row r="21" spans="3:8" x14ac:dyDescent="0.3">
      <c r="D21" s="15" t="s">
        <v>68</v>
      </c>
      <c r="E21">
        <v>8</v>
      </c>
      <c r="F21" s="41" t="s">
        <v>62</v>
      </c>
      <c r="G21" s="9">
        <v>100</v>
      </c>
      <c r="H21" s="10">
        <f t="shared" si="0"/>
        <v>800</v>
      </c>
    </row>
    <row r="22" spans="3:8" x14ac:dyDescent="0.3">
      <c r="D22" s="15" t="s">
        <v>114</v>
      </c>
      <c r="E22">
        <v>800</v>
      </c>
      <c r="F22" s="41" t="s">
        <v>67</v>
      </c>
      <c r="G22" s="9">
        <v>4</v>
      </c>
      <c r="H22" s="10">
        <f t="shared" si="0"/>
        <v>3200</v>
      </c>
    </row>
    <row r="23" spans="3:8" x14ac:dyDescent="0.3">
      <c r="D23" t="s">
        <v>64</v>
      </c>
      <c r="E23">
        <v>8</v>
      </c>
      <c r="F23" s="41" t="s">
        <v>60</v>
      </c>
      <c r="G23" s="9">
        <v>400</v>
      </c>
      <c r="H23" s="10">
        <f t="shared" si="0"/>
        <v>3200</v>
      </c>
    </row>
    <row r="24" spans="3:8" x14ac:dyDescent="0.3">
      <c r="D24" t="s">
        <v>54</v>
      </c>
      <c r="E24">
        <v>96</v>
      </c>
      <c r="F24" s="41" t="s">
        <v>58</v>
      </c>
      <c r="G24" s="10">
        <f>VLOOKUP($A$4,zone_lu,4)</f>
        <v>58.866228829999997</v>
      </c>
      <c r="H24" s="10">
        <f t="shared" si="0"/>
        <v>5651.1579676799993</v>
      </c>
    </row>
    <row r="25" spans="3:8" x14ac:dyDescent="0.3">
      <c r="C25" t="s">
        <v>106</v>
      </c>
      <c r="F25" s="41"/>
      <c r="G25" s="9"/>
      <c r="H25" s="10"/>
    </row>
    <row r="26" spans="3:8" x14ac:dyDescent="0.3">
      <c r="D26" t="s">
        <v>111</v>
      </c>
      <c r="E26">
        <v>8</v>
      </c>
      <c r="F26" s="41" t="s">
        <v>62</v>
      </c>
      <c r="G26" s="9">
        <v>400</v>
      </c>
      <c r="H26" s="10">
        <f t="shared" si="0"/>
        <v>3200</v>
      </c>
    </row>
    <row r="27" spans="3:8" x14ac:dyDescent="0.3">
      <c r="C27" t="s">
        <v>128</v>
      </c>
      <c r="F27" s="41"/>
      <c r="G27" s="9"/>
      <c r="H27" s="10"/>
    </row>
    <row r="28" spans="3:8" x14ac:dyDescent="0.3">
      <c r="D28" t="s">
        <v>129</v>
      </c>
      <c r="E28">
        <v>16</v>
      </c>
      <c r="F28" s="41" t="s">
        <v>62</v>
      </c>
      <c r="G28" s="9">
        <v>65</v>
      </c>
      <c r="H28" s="10">
        <f t="shared" si="0"/>
        <v>1040</v>
      </c>
    </row>
    <row r="29" spans="3:8" x14ac:dyDescent="0.3">
      <c r="D29" t="s">
        <v>130</v>
      </c>
      <c r="F29" s="41"/>
      <c r="G29" s="9"/>
      <c r="H29" s="38" t="s">
        <v>116</v>
      </c>
    </row>
    <row r="30" spans="3:8" x14ac:dyDescent="0.3">
      <c r="D30" t="s">
        <v>131</v>
      </c>
      <c r="F30" s="41"/>
      <c r="G30" s="9"/>
      <c r="H30" s="38" t="s">
        <v>116</v>
      </c>
    </row>
    <row r="31" spans="3:8" x14ac:dyDescent="0.3">
      <c r="D31" t="s">
        <v>54</v>
      </c>
      <c r="E31">
        <f>8*6</f>
        <v>48</v>
      </c>
      <c r="F31" s="41" t="s">
        <v>58</v>
      </c>
      <c r="G31" s="10">
        <f>VLOOKUP($A$4,zone_lu,4)</f>
        <v>58.866228829999997</v>
      </c>
      <c r="H31" s="10">
        <f t="shared" si="0"/>
        <v>2825.5789838399996</v>
      </c>
    </row>
    <row r="32" spans="3:8" x14ac:dyDescent="0.3">
      <c r="C32" t="s">
        <v>118</v>
      </c>
      <c r="F32" s="41"/>
      <c r="G32" s="9"/>
      <c r="H32" s="10">
        <f t="shared" si="0"/>
        <v>0</v>
      </c>
    </row>
    <row r="33" spans="2:9" x14ac:dyDescent="0.3">
      <c r="D33" t="s">
        <v>121</v>
      </c>
      <c r="F33" s="41"/>
      <c r="G33" s="9"/>
      <c r="H33" s="38" t="s">
        <v>132</v>
      </c>
    </row>
    <row r="34" spans="2:9" x14ac:dyDescent="0.3">
      <c r="D34" t="s">
        <v>54</v>
      </c>
      <c r="F34" s="41"/>
      <c r="G34" s="9"/>
      <c r="H34" s="38" t="s">
        <v>132</v>
      </c>
    </row>
    <row r="35" spans="2:9" x14ac:dyDescent="0.3">
      <c r="E35" s="11"/>
      <c r="F35" s="42"/>
      <c r="G35" s="12"/>
      <c r="H35" s="13">
        <f>SUBTOTAL(9,H12:H34)</f>
        <v>55916.736951520004</v>
      </c>
    </row>
    <row r="36" spans="2:9" x14ac:dyDescent="0.3">
      <c r="E36" s="16"/>
      <c r="F36" s="43"/>
      <c r="G36" s="17"/>
      <c r="H36" s="18"/>
    </row>
    <row r="37" spans="2:9" x14ac:dyDescent="0.3">
      <c r="B37" s="11"/>
      <c r="C37" s="11" t="s">
        <v>71</v>
      </c>
      <c r="D37" s="11"/>
      <c r="E37" s="11"/>
      <c r="F37" s="42"/>
      <c r="G37" s="12"/>
      <c r="H37" s="13">
        <f>SUBTOTAL(9,H6:H36)</f>
        <v>55916.736951520004</v>
      </c>
    </row>
    <row r="38" spans="2:9" x14ac:dyDescent="0.3">
      <c r="F38" s="41"/>
      <c r="G38" s="9"/>
      <c r="H38" s="10">
        <f t="shared" si="0"/>
        <v>0</v>
      </c>
    </row>
    <row r="39" spans="2:9" x14ac:dyDescent="0.3">
      <c r="B39" t="s">
        <v>104</v>
      </c>
      <c r="E39" s="49">
        <f>ROUND(VLOOKUP($A$4,zone_lu,5)*0.6,2)</f>
        <v>0.09</v>
      </c>
      <c r="F39" s="41"/>
      <c r="G39" s="9"/>
      <c r="H39" s="10">
        <f>ROUND(H37*E39,0)</f>
        <v>5033</v>
      </c>
      <c r="I39" s="10">
        <f>ROUND(I37*F39,0)</f>
        <v>0</v>
      </c>
    </row>
    <row r="40" spans="2:9" x14ac:dyDescent="0.3">
      <c r="E40" s="49"/>
      <c r="F40" s="41"/>
      <c r="G40" s="9"/>
      <c r="H40" s="10"/>
      <c r="I40" s="10"/>
    </row>
    <row r="41" spans="2:9" x14ac:dyDescent="0.3">
      <c r="B41" t="s">
        <v>103</v>
      </c>
      <c r="E41" s="49">
        <f>ROUND(VLOOKUP($A$4,zone_lu,6)*0.4,2)</f>
        <v>0.04</v>
      </c>
      <c r="F41" s="41"/>
      <c r="G41" s="9"/>
      <c r="H41" s="10">
        <f>ROUND(SUM(H37:H40)*E41,0)</f>
        <v>2438</v>
      </c>
      <c r="I41" s="10"/>
    </row>
    <row r="42" spans="2:9" x14ac:dyDescent="0.3">
      <c r="E42" s="49"/>
      <c r="F42" s="41"/>
      <c r="G42" s="9"/>
      <c r="H42" s="10"/>
      <c r="I42" s="10"/>
    </row>
    <row r="43" spans="2:9" x14ac:dyDescent="0.3">
      <c r="B43" t="s">
        <v>127</v>
      </c>
      <c r="E43" s="49">
        <f>VLOOKUP($A$4,zone_lu,7)</f>
        <v>1.2500000000000001E-2</v>
      </c>
      <c r="F43" s="41"/>
      <c r="G43" s="9"/>
      <c r="H43" s="10">
        <f>ROUND(SUM(H37:H42)*E43,0)</f>
        <v>792</v>
      </c>
      <c r="I43" s="10"/>
    </row>
    <row r="44" spans="2:9" x14ac:dyDescent="0.3">
      <c r="E44" s="49"/>
      <c r="F44" s="41"/>
      <c r="G44" s="9"/>
      <c r="H44" s="10"/>
      <c r="I44" s="10"/>
    </row>
    <row r="45" spans="2:9" x14ac:dyDescent="0.3">
      <c r="B45" t="s">
        <v>105</v>
      </c>
      <c r="E45" s="49"/>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64179.736951520004</v>
      </c>
    </row>
    <row r="49" ht="15" thickTop="1" x14ac:dyDescent="0.3"/>
  </sheetData>
  <mergeCells count="1">
    <mergeCell ref="A4:C4"/>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2"/>
  <dimension ref="A1:O49"/>
  <sheetViews>
    <sheetView showGridLines="0" topLeftCell="A2" zoomScale="90" zoomScaleNormal="90" workbookViewId="0">
      <selection activeCell="G20" sqref="G20"/>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O1" t="str">
        <f>A1&amp;": "&amp;A2</f>
        <v>Low Rise Multi-Family: New Construction</v>
      </c>
    </row>
    <row r="2" spans="1:15" x14ac:dyDescent="0.3">
      <c r="A2" t="s">
        <v>0</v>
      </c>
    </row>
    <row r="3" spans="1:15" x14ac:dyDescent="0.3">
      <c r="A3" t="s">
        <v>70</v>
      </c>
      <c r="F3" s="41"/>
      <c r="G3" s="9"/>
      <c r="H3" s="8"/>
    </row>
    <row r="4" spans="1:15" ht="14.4" customHeight="1" x14ac:dyDescent="0.3">
      <c r="A4" s="88">
        <v>3</v>
      </c>
      <c r="B4" s="88"/>
      <c r="C4" s="88"/>
    </row>
    <row r="6" spans="1:15" x14ac:dyDescent="0.3">
      <c r="B6" t="s">
        <v>50</v>
      </c>
      <c r="F6" s="41"/>
      <c r="G6" s="9"/>
      <c r="H6" s="8"/>
    </row>
    <row r="7" spans="1:15" x14ac:dyDescent="0.3">
      <c r="C7" t="s">
        <v>120</v>
      </c>
      <c r="F7" s="41"/>
      <c r="G7" s="9"/>
      <c r="H7" s="38" t="s">
        <v>116</v>
      </c>
    </row>
    <row r="8" spans="1:15" x14ac:dyDescent="0.3">
      <c r="D8" t="s">
        <v>54</v>
      </c>
      <c r="F8" s="41"/>
      <c r="G8" s="10"/>
      <c r="H8" s="10"/>
    </row>
    <row r="9" spans="1:15" x14ac:dyDescent="0.3">
      <c r="D9" t="s">
        <v>59</v>
      </c>
      <c r="F9" s="41"/>
      <c r="G9" s="10"/>
      <c r="H9" s="10"/>
    </row>
    <row r="10" spans="1:15" x14ac:dyDescent="0.3">
      <c r="E10" s="11"/>
      <c r="F10" s="42"/>
      <c r="G10" s="12"/>
      <c r="H10" s="13">
        <f>SUBTOTAL(9,H6:H9)</f>
        <v>0</v>
      </c>
    </row>
    <row r="11" spans="1:15" x14ac:dyDescent="0.3">
      <c r="F11" s="41"/>
      <c r="G11" s="9"/>
      <c r="H11" s="10">
        <f t="shared" ref="H11:H38" si="0">E11*G11</f>
        <v>0</v>
      </c>
    </row>
    <row r="12" spans="1:15" x14ac:dyDescent="0.3">
      <c r="B12" t="s">
        <v>51</v>
      </c>
      <c r="F12" s="41"/>
      <c r="G12" s="9"/>
      <c r="H12" s="10">
        <f t="shared" si="0"/>
        <v>0</v>
      </c>
    </row>
    <row r="13" spans="1:15" x14ac:dyDescent="0.3">
      <c r="C13" t="s">
        <v>53</v>
      </c>
      <c r="F13" s="41"/>
      <c r="G13" s="9"/>
      <c r="H13" s="39" t="s">
        <v>117</v>
      </c>
    </row>
    <row r="14" spans="1:15" x14ac:dyDescent="0.3">
      <c r="D14" t="s">
        <v>61</v>
      </c>
      <c r="F14" s="41"/>
      <c r="G14" s="28"/>
      <c r="H14" s="10"/>
    </row>
    <row r="15" spans="1:15" x14ac:dyDescent="0.3">
      <c r="D15" s="14" t="s">
        <v>73</v>
      </c>
      <c r="F15" s="41"/>
      <c r="G15" s="10"/>
      <c r="H15" s="10"/>
    </row>
    <row r="16" spans="1:15" x14ac:dyDescent="0.3">
      <c r="D16" t="s">
        <v>64</v>
      </c>
      <c r="F16" s="41"/>
      <c r="G16" s="10"/>
      <c r="H16" s="10"/>
    </row>
    <row r="17" spans="3:8" x14ac:dyDescent="0.3">
      <c r="D17" t="s">
        <v>54</v>
      </c>
      <c r="F17" s="41"/>
      <c r="G17" s="10"/>
      <c r="H17" s="10"/>
    </row>
    <row r="18" spans="3:8" x14ac:dyDescent="0.3">
      <c r="C18" t="s">
        <v>52</v>
      </c>
      <c r="F18" s="41"/>
      <c r="G18" s="9"/>
      <c r="H18" s="10">
        <f t="shared" si="0"/>
        <v>0</v>
      </c>
    </row>
    <row r="19" spans="3:8" x14ac:dyDescent="0.3">
      <c r="D19" t="s">
        <v>66</v>
      </c>
      <c r="E19">
        <v>8</v>
      </c>
      <c r="F19" s="41" t="s">
        <v>62</v>
      </c>
      <c r="G19" s="29">
        <v>6500</v>
      </c>
      <c r="H19" s="10">
        <f t="shared" si="0"/>
        <v>52000</v>
      </c>
    </row>
    <row r="20" spans="3:8" ht="28.8" x14ac:dyDescent="0.3">
      <c r="D20" s="24" t="s">
        <v>96</v>
      </c>
      <c r="F20" s="41"/>
      <c r="G20" s="9"/>
      <c r="H20" s="10">
        <f t="shared" si="0"/>
        <v>0</v>
      </c>
    </row>
    <row r="21" spans="3:8" x14ac:dyDescent="0.3">
      <c r="D21" s="15" t="s">
        <v>68</v>
      </c>
      <c r="E21">
        <v>8</v>
      </c>
      <c r="F21" s="41" t="s">
        <v>62</v>
      </c>
      <c r="G21" s="9">
        <v>100</v>
      </c>
      <c r="H21" s="10">
        <f t="shared" si="0"/>
        <v>800</v>
      </c>
    </row>
    <row r="22" spans="3:8" x14ac:dyDescent="0.3">
      <c r="D22" s="15" t="s">
        <v>114</v>
      </c>
      <c r="E22">
        <v>800</v>
      </c>
      <c r="F22" s="41" t="s">
        <v>67</v>
      </c>
      <c r="G22" s="9">
        <v>4</v>
      </c>
      <c r="H22" s="10">
        <f t="shared" si="0"/>
        <v>3200</v>
      </c>
    </row>
    <row r="23" spans="3:8" x14ac:dyDescent="0.3">
      <c r="D23" t="s">
        <v>64</v>
      </c>
      <c r="E23">
        <v>8</v>
      </c>
      <c r="F23" s="41" t="s">
        <v>60</v>
      </c>
      <c r="G23" s="9">
        <v>400</v>
      </c>
      <c r="H23" s="10">
        <f t="shared" si="0"/>
        <v>3200</v>
      </c>
    </row>
    <row r="24" spans="3:8" x14ac:dyDescent="0.3">
      <c r="D24" t="s">
        <v>54</v>
      </c>
      <c r="E24">
        <v>96</v>
      </c>
      <c r="F24" s="41" t="s">
        <v>58</v>
      </c>
      <c r="G24" s="10">
        <f>VLOOKUP($A$4,zone_lu,4)</f>
        <v>58.866228829999997</v>
      </c>
      <c r="H24" s="10">
        <f t="shared" si="0"/>
        <v>5651.1579676799993</v>
      </c>
    </row>
    <row r="25" spans="3:8" x14ac:dyDescent="0.3">
      <c r="C25" t="s">
        <v>106</v>
      </c>
      <c r="F25" s="41"/>
      <c r="G25" s="9"/>
      <c r="H25" s="10"/>
    </row>
    <row r="26" spans="3:8" x14ac:dyDescent="0.3">
      <c r="D26" t="s">
        <v>111</v>
      </c>
      <c r="E26">
        <v>8</v>
      </c>
      <c r="F26" s="41" t="s">
        <v>62</v>
      </c>
      <c r="G26" s="9">
        <v>400</v>
      </c>
      <c r="H26" s="10">
        <f t="shared" si="0"/>
        <v>3200</v>
      </c>
    </row>
    <row r="27" spans="3:8" x14ac:dyDescent="0.3">
      <c r="C27" t="s">
        <v>128</v>
      </c>
      <c r="F27" s="41"/>
      <c r="G27" s="9"/>
      <c r="H27" s="10"/>
    </row>
    <row r="28" spans="3:8" x14ac:dyDescent="0.3">
      <c r="D28" t="s">
        <v>129</v>
      </c>
      <c r="E28">
        <v>16</v>
      </c>
      <c r="F28" s="41" t="s">
        <v>62</v>
      </c>
      <c r="G28" s="9">
        <v>65</v>
      </c>
      <c r="H28" s="10">
        <f t="shared" si="0"/>
        <v>1040</v>
      </c>
    </row>
    <row r="29" spans="3:8" x14ac:dyDescent="0.3">
      <c r="D29" t="s">
        <v>130</v>
      </c>
      <c r="F29" s="41"/>
      <c r="G29" s="9"/>
      <c r="H29" s="38" t="s">
        <v>116</v>
      </c>
    </row>
    <row r="30" spans="3:8" x14ac:dyDescent="0.3">
      <c r="D30" t="s">
        <v>131</v>
      </c>
      <c r="F30" s="41"/>
      <c r="G30" s="9"/>
      <c r="H30" s="38" t="s">
        <v>116</v>
      </c>
    </row>
    <row r="31" spans="3:8" x14ac:dyDescent="0.3">
      <c r="D31" t="s">
        <v>54</v>
      </c>
      <c r="E31">
        <f>8*6</f>
        <v>48</v>
      </c>
      <c r="F31" s="41" t="s">
        <v>58</v>
      </c>
      <c r="G31" s="10">
        <f>VLOOKUP($A$4,zone_lu,4)</f>
        <v>58.866228829999997</v>
      </c>
      <c r="H31" s="10">
        <f t="shared" si="0"/>
        <v>2825.5789838399996</v>
      </c>
    </row>
    <row r="32" spans="3:8" x14ac:dyDescent="0.3">
      <c r="C32" t="s">
        <v>118</v>
      </c>
      <c r="F32" s="41"/>
      <c r="G32" s="9"/>
      <c r="H32" s="10">
        <f t="shared" si="0"/>
        <v>0</v>
      </c>
    </row>
    <row r="33" spans="2:9" x14ac:dyDescent="0.3">
      <c r="D33" t="s">
        <v>121</v>
      </c>
      <c r="F33" s="41"/>
      <c r="G33" s="9"/>
      <c r="H33" s="38" t="s">
        <v>132</v>
      </c>
    </row>
    <row r="34" spans="2:9" x14ac:dyDescent="0.3">
      <c r="D34" t="s">
        <v>54</v>
      </c>
      <c r="F34" s="41"/>
      <c r="G34" s="9"/>
      <c r="H34" s="38" t="s">
        <v>132</v>
      </c>
    </row>
    <row r="35" spans="2:9" x14ac:dyDescent="0.3">
      <c r="E35" s="11"/>
      <c r="F35" s="42"/>
      <c r="G35" s="12"/>
      <c r="H35" s="13">
        <f>SUBTOTAL(9,H12:H34)</f>
        <v>71916.736951519997</v>
      </c>
    </row>
    <row r="36" spans="2:9" x14ac:dyDescent="0.3">
      <c r="E36" s="16"/>
      <c r="F36" s="43"/>
      <c r="G36" s="17"/>
      <c r="H36" s="18"/>
    </row>
    <row r="37" spans="2:9" x14ac:dyDescent="0.3">
      <c r="B37" s="11"/>
      <c r="C37" s="11" t="s">
        <v>71</v>
      </c>
      <c r="D37" s="11"/>
      <c r="E37" s="11"/>
      <c r="F37" s="42"/>
      <c r="G37" s="12"/>
      <c r="H37" s="13">
        <f>SUBTOTAL(9,H6:H36)</f>
        <v>71916.736951519997</v>
      </c>
    </row>
    <row r="38" spans="2:9" x14ac:dyDescent="0.3">
      <c r="F38" s="41"/>
      <c r="G38" s="9"/>
      <c r="H38" s="10">
        <f t="shared" si="0"/>
        <v>0</v>
      </c>
    </row>
    <row r="39" spans="2:9" x14ac:dyDescent="0.3">
      <c r="B39" t="s">
        <v>104</v>
      </c>
      <c r="E39" s="49">
        <f>ROUND(VLOOKUP($A$4,zone_lu,5)*0.6,2)</f>
        <v>0.09</v>
      </c>
      <c r="F39" s="41"/>
      <c r="G39" s="9"/>
      <c r="H39" s="10">
        <f>ROUND(H37*E39,0)</f>
        <v>6473</v>
      </c>
      <c r="I39" s="10">
        <f>ROUND(I37*F39,0)</f>
        <v>0</v>
      </c>
    </row>
    <row r="40" spans="2:9" x14ac:dyDescent="0.3">
      <c r="E40" s="49"/>
      <c r="F40" s="41"/>
      <c r="G40" s="9"/>
      <c r="H40" s="10"/>
      <c r="I40" s="10"/>
    </row>
    <row r="41" spans="2:9" x14ac:dyDescent="0.3">
      <c r="B41" t="s">
        <v>103</v>
      </c>
      <c r="E41" s="49">
        <f>ROUND(VLOOKUP($A$4,zone_lu,6)*0.4,2)</f>
        <v>0.04</v>
      </c>
      <c r="F41" s="41"/>
      <c r="G41" s="9"/>
      <c r="H41" s="10">
        <f>ROUND(SUM(H37:H40)*E41,0)</f>
        <v>3136</v>
      </c>
      <c r="I41" s="10"/>
    </row>
    <row r="42" spans="2:9" x14ac:dyDescent="0.3">
      <c r="E42" s="49"/>
      <c r="F42" s="41"/>
      <c r="G42" s="9"/>
      <c r="H42" s="10"/>
      <c r="I42" s="10"/>
    </row>
    <row r="43" spans="2:9" x14ac:dyDescent="0.3">
      <c r="B43" t="s">
        <v>127</v>
      </c>
      <c r="E43" s="49">
        <f>VLOOKUP($A$4,zone_lu,7)</f>
        <v>1.2500000000000001E-2</v>
      </c>
      <c r="F43" s="41"/>
      <c r="G43" s="9"/>
      <c r="H43" s="10">
        <f>ROUND(SUM(H37:H42)*E43,0)</f>
        <v>1019</v>
      </c>
      <c r="I43" s="10"/>
    </row>
    <row r="44" spans="2:9" x14ac:dyDescent="0.3">
      <c r="E44" s="49"/>
      <c r="F44" s="41"/>
      <c r="G44" s="9"/>
      <c r="H44" s="10"/>
      <c r="I44" s="10"/>
    </row>
    <row r="45" spans="2:9" x14ac:dyDescent="0.3">
      <c r="B45" t="s">
        <v>105</v>
      </c>
      <c r="E45" s="49"/>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82544.736951519997</v>
      </c>
    </row>
    <row r="49" ht="15" thickTop="1" x14ac:dyDescent="0.3"/>
  </sheetData>
  <mergeCells count="1">
    <mergeCell ref="A4:C4"/>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6"/>
  <dimension ref="A1:O49"/>
  <sheetViews>
    <sheetView showGridLines="0" topLeftCell="A7"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New Construction</v>
      </c>
    </row>
    <row r="2" spans="1:15" x14ac:dyDescent="0.3">
      <c r="A2" t="s">
        <v>0</v>
      </c>
    </row>
    <row r="3" spans="1:15" x14ac:dyDescent="0.3">
      <c r="A3" t="s">
        <v>70</v>
      </c>
    </row>
    <row r="4" spans="1:15" ht="14.4" customHeight="1" x14ac:dyDescent="0.3">
      <c r="A4" s="88">
        <v>4</v>
      </c>
      <c r="B4" s="88"/>
      <c r="C4" s="88"/>
    </row>
    <row r="6" spans="1:15" x14ac:dyDescent="0.3">
      <c r="B6" t="s">
        <v>50</v>
      </c>
      <c r="F6" s="41"/>
      <c r="G6" s="9"/>
      <c r="H6" s="8"/>
    </row>
    <row r="7" spans="1:15" x14ac:dyDescent="0.3">
      <c r="C7" t="s">
        <v>120</v>
      </c>
      <c r="F7" s="41"/>
      <c r="G7" s="9"/>
      <c r="H7" s="38" t="s">
        <v>116</v>
      </c>
    </row>
    <row r="8" spans="1:15" x14ac:dyDescent="0.3">
      <c r="D8" t="s">
        <v>54</v>
      </c>
      <c r="F8" s="41"/>
      <c r="G8" s="9"/>
      <c r="H8" s="10"/>
    </row>
    <row r="9" spans="1:15" x14ac:dyDescent="0.3">
      <c r="D9" t="s">
        <v>59</v>
      </c>
      <c r="F9" s="41"/>
      <c r="G9" s="9"/>
      <c r="H9" s="10"/>
    </row>
    <row r="10" spans="1:15" x14ac:dyDescent="0.3">
      <c r="E10" s="11"/>
      <c r="F10" s="42"/>
      <c r="G10" s="12"/>
      <c r="H10" s="13">
        <f>SUBTOTAL(9,H6:H9)</f>
        <v>0</v>
      </c>
    </row>
    <row r="11" spans="1:15" x14ac:dyDescent="0.3">
      <c r="F11" s="41"/>
      <c r="G11" s="9"/>
      <c r="H11" s="10">
        <f t="shared" ref="H11:H38" si="0">E11*G11</f>
        <v>0</v>
      </c>
    </row>
    <row r="12" spans="1:15" x14ac:dyDescent="0.3">
      <c r="B12" t="s">
        <v>51</v>
      </c>
      <c r="F12" s="41"/>
      <c r="G12" s="9"/>
      <c r="H12" s="10">
        <f t="shared" si="0"/>
        <v>0</v>
      </c>
    </row>
    <row r="13" spans="1:15" x14ac:dyDescent="0.3">
      <c r="C13" t="s">
        <v>53</v>
      </c>
      <c r="F13" s="41"/>
      <c r="G13" s="9"/>
      <c r="H13" s="39" t="s">
        <v>117</v>
      </c>
    </row>
    <row r="14" spans="1:15" x14ac:dyDescent="0.3">
      <c r="D14" t="s">
        <v>61</v>
      </c>
      <c r="F14" s="41"/>
      <c r="G14" s="29"/>
      <c r="H14" s="10"/>
    </row>
    <row r="15" spans="1:15" x14ac:dyDescent="0.3">
      <c r="D15" s="14" t="s">
        <v>73</v>
      </c>
      <c r="F15" s="41"/>
      <c r="G15" s="29"/>
      <c r="H15" s="10"/>
    </row>
    <row r="16" spans="1:15" x14ac:dyDescent="0.3">
      <c r="D16" t="s">
        <v>64</v>
      </c>
      <c r="F16" s="41"/>
      <c r="G16" s="29"/>
      <c r="H16" s="10"/>
    </row>
    <row r="17" spans="3:8" x14ac:dyDescent="0.3">
      <c r="D17" t="s">
        <v>54</v>
      </c>
      <c r="F17" s="41"/>
      <c r="G17" s="9"/>
      <c r="H17" s="10"/>
    </row>
    <row r="18" spans="3:8" x14ac:dyDescent="0.3">
      <c r="C18" t="s">
        <v>52</v>
      </c>
      <c r="F18" s="41"/>
      <c r="G18" s="9"/>
      <c r="H18" s="10">
        <f t="shared" si="0"/>
        <v>0</v>
      </c>
    </row>
    <row r="19" spans="3:8" x14ac:dyDescent="0.3">
      <c r="D19" t="s">
        <v>66</v>
      </c>
      <c r="E19">
        <v>8</v>
      </c>
      <c r="F19" s="41" t="s">
        <v>62</v>
      </c>
      <c r="G19" s="29">
        <v>4800</v>
      </c>
      <c r="H19" s="10">
        <f t="shared" si="0"/>
        <v>38400</v>
      </c>
    </row>
    <row r="20" spans="3:8" ht="30" customHeight="1" x14ac:dyDescent="0.3">
      <c r="D20" s="24" t="s">
        <v>74</v>
      </c>
      <c r="F20" s="41"/>
      <c r="G20" s="9"/>
      <c r="H20" s="10">
        <f t="shared" si="0"/>
        <v>0</v>
      </c>
    </row>
    <row r="21" spans="3:8" x14ac:dyDescent="0.3">
      <c r="D21" s="15" t="s">
        <v>68</v>
      </c>
      <c r="E21">
        <v>8</v>
      </c>
      <c r="F21" s="41" t="s">
        <v>62</v>
      </c>
      <c r="G21" s="9">
        <v>100</v>
      </c>
      <c r="H21" s="10">
        <f t="shared" si="0"/>
        <v>800</v>
      </c>
    </row>
    <row r="22" spans="3:8" x14ac:dyDescent="0.3">
      <c r="D22" s="15" t="s">
        <v>114</v>
      </c>
      <c r="E22">
        <v>800</v>
      </c>
      <c r="F22" s="41" t="s">
        <v>67</v>
      </c>
      <c r="G22" s="9">
        <v>4</v>
      </c>
      <c r="H22" s="10">
        <f t="shared" si="0"/>
        <v>3200</v>
      </c>
    </row>
    <row r="23" spans="3:8" x14ac:dyDescent="0.3">
      <c r="D23" t="s">
        <v>64</v>
      </c>
      <c r="E23">
        <v>8</v>
      </c>
      <c r="F23" s="41" t="s">
        <v>60</v>
      </c>
      <c r="G23" s="9">
        <v>400</v>
      </c>
      <c r="H23" s="10">
        <f t="shared" si="0"/>
        <v>3200</v>
      </c>
    </row>
    <row r="24" spans="3:8" x14ac:dyDescent="0.3">
      <c r="D24" t="s">
        <v>54</v>
      </c>
      <c r="E24">
        <v>96</v>
      </c>
      <c r="F24" s="41" t="s">
        <v>58</v>
      </c>
      <c r="G24" s="9">
        <f>VLOOKUP($A$4,zone_lu,4)</f>
        <v>58.866228829999997</v>
      </c>
      <c r="H24" s="10">
        <f t="shared" si="0"/>
        <v>5651.1579676799993</v>
      </c>
    </row>
    <row r="25" spans="3:8" x14ac:dyDescent="0.3">
      <c r="C25" t="s">
        <v>106</v>
      </c>
      <c r="F25" s="41"/>
      <c r="G25" s="9"/>
      <c r="H25" s="10"/>
    </row>
    <row r="26" spans="3:8" x14ac:dyDescent="0.3">
      <c r="D26" t="s">
        <v>111</v>
      </c>
      <c r="E26">
        <v>8</v>
      </c>
      <c r="F26" s="41" t="s">
        <v>62</v>
      </c>
      <c r="G26" s="9">
        <v>400</v>
      </c>
      <c r="H26" s="10">
        <f t="shared" si="0"/>
        <v>3200</v>
      </c>
    </row>
    <row r="27" spans="3:8" x14ac:dyDescent="0.3">
      <c r="C27" t="s">
        <v>128</v>
      </c>
      <c r="F27" s="41"/>
      <c r="G27" s="9"/>
      <c r="H27" s="10"/>
    </row>
    <row r="28" spans="3:8" x14ac:dyDescent="0.3">
      <c r="D28" t="s">
        <v>129</v>
      </c>
      <c r="E28">
        <v>16</v>
      </c>
      <c r="F28" s="41" t="s">
        <v>62</v>
      </c>
      <c r="G28" s="9">
        <v>65</v>
      </c>
      <c r="H28" s="10">
        <f t="shared" si="0"/>
        <v>1040</v>
      </c>
    </row>
    <row r="29" spans="3:8" x14ac:dyDescent="0.3">
      <c r="D29" t="s">
        <v>130</v>
      </c>
      <c r="F29" s="41"/>
      <c r="G29" s="9"/>
      <c r="H29" s="38" t="s">
        <v>116</v>
      </c>
    </row>
    <row r="30" spans="3:8" x14ac:dyDescent="0.3">
      <c r="D30" t="s">
        <v>131</v>
      </c>
      <c r="F30" s="41"/>
      <c r="G30" s="9"/>
      <c r="H30" s="38" t="s">
        <v>116</v>
      </c>
    </row>
    <row r="31" spans="3:8" x14ac:dyDescent="0.3">
      <c r="D31" t="s">
        <v>54</v>
      </c>
      <c r="E31">
        <f>8*6</f>
        <v>48</v>
      </c>
      <c r="F31" s="41" t="s">
        <v>58</v>
      </c>
      <c r="G31" s="9">
        <f>VLOOKUP($A$4,zone_lu,4)</f>
        <v>58.866228829999997</v>
      </c>
      <c r="H31" s="10">
        <f t="shared" si="0"/>
        <v>2825.5789838399996</v>
      </c>
    </row>
    <row r="32" spans="3:8" x14ac:dyDescent="0.3">
      <c r="C32" t="s">
        <v>118</v>
      </c>
      <c r="F32" s="41"/>
      <c r="G32" s="9"/>
      <c r="H32" s="10">
        <f t="shared" si="0"/>
        <v>0</v>
      </c>
    </row>
    <row r="33" spans="2:9" x14ac:dyDescent="0.3">
      <c r="D33" t="s">
        <v>121</v>
      </c>
      <c r="F33" s="41"/>
      <c r="G33" s="9"/>
      <c r="H33" s="38" t="s">
        <v>132</v>
      </c>
    </row>
    <row r="34" spans="2:9" x14ac:dyDescent="0.3">
      <c r="D34" t="s">
        <v>54</v>
      </c>
      <c r="F34" s="41"/>
      <c r="G34" s="9"/>
      <c r="H34" s="38" t="s">
        <v>132</v>
      </c>
    </row>
    <row r="35" spans="2:9" x14ac:dyDescent="0.3">
      <c r="E35" s="11"/>
      <c r="F35" s="42"/>
      <c r="G35" s="12"/>
      <c r="H35" s="13">
        <f>SUBTOTAL(9,H12:H34)</f>
        <v>58316.736951520004</v>
      </c>
    </row>
    <row r="36" spans="2:9" x14ac:dyDescent="0.3">
      <c r="E36" s="16"/>
      <c r="F36" s="43"/>
      <c r="G36" s="17"/>
      <c r="H36" s="18"/>
    </row>
    <row r="37" spans="2:9" x14ac:dyDescent="0.3">
      <c r="B37" s="11"/>
      <c r="C37" s="11" t="s">
        <v>71</v>
      </c>
      <c r="D37" s="11"/>
      <c r="E37" s="11"/>
      <c r="F37" s="42"/>
      <c r="G37" s="12"/>
      <c r="H37" s="13">
        <f>SUBTOTAL(9,H6:H36)</f>
        <v>58316.736951520004</v>
      </c>
    </row>
    <row r="38" spans="2:9" x14ac:dyDescent="0.3">
      <c r="F38" s="41"/>
      <c r="G38" s="9"/>
      <c r="H38" s="10">
        <f t="shared" si="0"/>
        <v>0</v>
      </c>
    </row>
    <row r="39" spans="2:9" x14ac:dyDescent="0.3">
      <c r="B39" t="s">
        <v>104</v>
      </c>
      <c r="E39" s="49">
        <f>ROUND(VLOOKUP($A$4,zone_lu,5)*0.6,2)</f>
        <v>0.09</v>
      </c>
      <c r="F39" s="41"/>
      <c r="G39" s="9"/>
      <c r="H39" s="10">
        <f>ROUND(H37*E39,0)</f>
        <v>5249</v>
      </c>
      <c r="I39" s="10">
        <f>ROUND(I37*F39,0)</f>
        <v>0</v>
      </c>
    </row>
    <row r="40" spans="2:9" x14ac:dyDescent="0.3">
      <c r="E40" s="49"/>
      <c r="F40" s="41"/>
      <c r="G40" s="9"/>
      <c r="H40" s="10"/>
      <c r="I40" s="10"/>
    </row>
    <row r="41" spans="2:9" x14ac:dyDescent="0.3">
      <c r="B41" t="s">
        <v>103</v>
      </c>
      <c r="E41" s="49">
        <f>ROUND(VLOOKUP($A$4,zone_lu,6)*0.4,2)</f>
        <v>0.04</v>
      </c>
      <c r="F41" s="41"/>
      <c r="G41" s="9"/>
      <c r="H41" s="10">
        <f>ROUND(SUM(H37:H40)*E41,0)</f>
        <v>2543</v>
      </c>
      <c r="I41" s="10"/>
    </row>
    <row r="42" spans="2:9" x14ac:dyDescent="0.3">
      <c r="E42" s="49"/>
      <c r="F42" s="41"/>
      <c r="G42" s="9"/>
      <c r="H42" s="10"/>
      <c r="I42" s="10"/>
    </row>
    <row r="43" spans="2:9" x14ac:dyDescent="0.3">
      <c r="B43" t="s">
        <v>127</v>
      </c>
      <c r="E43" s="49">
        <f>VLOOKUP($A$4,zone_lu,7)</f>
        <v>1.2500000000000001E-2</v>
      </c>
      <c r="F43" s="41"/>
      <c r="G43" s="9"/>
      <c r="H43" s="10">
        <f>ROUND(SUM(H37:H42)*E43,0)</f>
        <v>826</v>
      </c>
      <c r="I43" s="10"/>
    </row>
    <row r="44" spans="2:9" x14ac:dyDescent="0.3">
      <c r="E44" s="49"/>
      <c r="F44" s="41"/>
      <c r="G44" s="9"/>
      <c r="H44" s="10"/>
      <c r="I44" s="10"/>
    </row>
    <row r="45" spans="2:9" x14ac:dyDescent="0.3">
      <c r="B45" t="s">
        <v>105</v>
      </c>
      <c r="E45" s="49"/>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66934.736951519997</v>
      </c>
    </row>
    <row r="49" ht="15" thickTop="1" x14ac:dyDescent="0.3"/>
  </sheetData>
  <mergeCells count="1">
    <mergeCell ref="A4:C4"/>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12D6E-2E8F-442B-9A1C-0782DF8F823A}">
  <sheetPr codeName="Sheet40"/>
  <dimension ref="A1:O49"/>
  <sheetViews>
    <sheetView showGridLines="0" topLeftCell="A7"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New Construction</v>
      </c>
    </row>
    <row r="2" spans="1:15" x14ac:dyDescent="0.3">
      <c r="A2" t="s">
        <v>0</v>
      </c>
    </row>
    <row r="3" spans="1:15" x14ac:dyDescent="0.3">
      <c r="A3" t="s">
        <v>70</v>
      </c>
    </row>
    <row r="4" spans="1:15" ht="14.4" customHeight="1" x14ac:dyDescent="0.3">
      <c r="A4" s="88">
        <v>4</v>
      </c>
      <c r="B4" s="88"/>
      <c r="C4" s="88"/>
    </row>
    <row r="6" spans="1:15" x14ac:dyDescent="0.3">
      <c r="B6" t="s">
        <v>50</v>
      </c>
      <c r="F6" s="41"/>
      <c r="G6" s="9"/>
      <c r="H6" s="8"/>
    </row>
    <row r="7" spans="1:15" x14ac:dyDescent="0.3">
      <c r="C7" t="s">
        <v>120</v>
      </c>
      <c r="F7" s="41"/>
      <c r="G7" s="9"/>
      <c r="H7" s="38" t="s">
        <v>116</v>
      </c>
    </row>
    <row r="8" spans="1:15" x14ac:dyDescent="0.3">
      <c r="D8" t="s">
        <v>54</v>
      </c>
      <c r="F8" s="41"/>
      <c r="G8" s="9"/>
      <c r="H8" s="10"/>
    </row>
    <row r="9" spans="1:15" x14ac:dyDescent="0.3">
      <c r="D9" t="s">
        <v>59</v>
      </c>
      <c r="F9" s="41"/>
      <c r="G9" s="9"/>
      <c r="H9" s="10"/>
    </row>
    <row r="10" spans="1:15" x14ac:dyDescent="0.3">
      <c r="E10" s="11"/>
      <c r="F10" s="42"/>
      <c r="G10" s="12"/>
      <c r="H10" s="13">
        <f>SUBTOTAL(9,H6:H9)</f>
        <v>0</v>
      </c>
    </row>
    <row r="11" spans="1:15" x14ac:dyDescent="0.3">
      <c r="F11" s="41"/>
      <c r="G11" s="9"/>
      <c r="H11" s="10">
        <f t="shared" ref="H11:H38" si="0">E11*G11</f>
        <v>0</v>
      </c>
    </row>
    <row r="12" spans="1:15" x14ac:dyDescent="0.3">
      <c r="B12" t="s">
        <v>51</v>
      </c>
      <c r="F12" s="41"/>
      <c r="G12" s="9"/>
      <c r="H12" s="10">
        <f t="shared" si="0"/>
        <v>0</v>
      </c>
    </row>
    <row r="13" spans="1:15" x14ac:dyDescent="0.3">
      <c r="C13" t="s">
        <v>53</v>
      </c>
      <c r="F13" s="41"/>
      <c r="G13" s="9"/>
      <c r="H13" s="39" t="s">
        <v>117</v>
      </c>
    </row>
    <row r="14" spans="1:15" x14ac:dyDescent="0.3">
      <c r="D14" t="s">
        <v>61</v>
      </c>
      <c r="F14" s="41"/>
      <c r="G14" s="29"/>
      <c r="H14" s="10"/>
    </row>
    <row r="15" spans="1:15" x14ac:dyDescent="0.3">
      <c r="D15" s="14" t="s">
        <v>73</v>
      </c>
      <c r="F15" s="41"/>
      <c r="G15" s="29"/>
      <c r="H15" s="10"/>
    </row>
    <row r="16" spans="1:15" x14ac:dyDescent="0.3">
      <c r="D16" t="s">
        <v>64</v>
      </c>
      <c r="F16" s="41"/>
      <c r="G16" s="29"/>
      <c r="H16" s="10"/>
    </row>
    <row r="17" spans="3:8" x14ac:dyDescent="0.3">
      <c r="D17" t="s">
        <v>54</v>
      </c>
      <c r="F17" s="41"/>
      <c r="G17" s="9"/>
      <c r="H17" s="10"/>
    </row>
    <row r="18" spans="3:8" x14ac:dyDescent="0.3">
      <c r="C18" t="s">
        <v>52</v>
      </c>
      <c r="F18" s="41"/>
      <c r="G18" s="9"/>
      <c r="H18" s="10">
        <f t="shared" si="0"/>
        <v>0</v>
      </c>
    </row>
    <row r="19" spans="3:8" x14ac:dyDescent="0.3">
      <c r="D19" t="s">
        <v>66</v>
      </c>
      <c r="E19">
        <v>8</v>
      </c>
      <c r="F19" s="41" t="s">
        <v>62</v>
      </c>
      <c r="G19" s="29">
        <f>'LRMF NC Electric Z4'!G19*'LRMF NC Electric Z3 O2'!G19/'LRMF NC Electric Z3 S'!G19</f>
        <v>6500</v>
      </c>
      <c r="H19" s="10">
        <f t="shared" si="0"/>
        <v>52000</v>
      </c>
    </row>
    <row r="20" spans="3:8" ht="30" customHeight="1" x14ac:dyDescent="0.3">
      <c r="D20" s="24" t="s">
        <v>96</v>
      </c>
      <c r="F20" s="41"/>
      <c r="G20" s="9"/>
      <c r="H20" s="10">
        <f t="shared" si="0"/>
        <v>0</v>
      </c>
    </row>
    <row r="21" spans="3:8" x14ac:dyDescent="0.3">
      <c r="D21" s="15" t="s">
        <v>68</v>
      </c>
      <c r="E21">
        <v>8</v>
      </c>
      <c r="F21" s="41" t="s">
        <v>62</v>
      </c>
      <c r="G21" s="9">
        <v>100</v>
      </c>
      <c r="H21" s="10">
        <f t="shared" si="0"/>
        <v>800</v>
      </c>
    </row>
    <row r="22" spans="3:8" x14ac:dyDescent="0.3">
      <c r="D22" s="15" t="s">
        <v>114</v>
      </c>
      <c r="E22">
        <v>800</v>
      </c>
      <c r="F22" s="41" t="s">
        <v>67</v>
      </c>
      <c r="G22" s="9">
        <v>4</v>
      </c>
      <c r="H22" s="10">
        <f t="shared" si="0"/>
        <v>3200</v>
      </c>
    </row>
    <row r="23" spans="3:8" x14ac:dyDescent="0.3">
      <c r="D23" t="s">
        <v>64</v>
      </c>
      <c r="E23">
        <v>8</v>
      </c>
      <c r="F23" s="41" t="s">
        <v>60</v>
      </c>
      <c r="G23" s="9">
        <v>400</v>
      </c>
      <c r="H23" s="10">
        <f t="shared" si="0"/>
        <v>3200</v>
      </c>
    </row>
    <row r="24" spans="3:8" x14ac:dyDescent="0.3">
      <c r="D24" t="s">
        <v>54</v>
      </c>
      <c r="E24">
        <v>96</v>
      </c>
      <c r="F24" s="41" t="s">
        <v>58</v>
      </c>
      <c r="G24" s="9">
        <f>VLOOKUP($A$4,zone_lu,4)</f>
        <v>58.866228829999997</v>
      </c>
      <c r="H24" s="10">
        <f t="shared" si="0"/>
        <v>5651.1579676799993</v>
      </c>
    </row>
    <row r="25" spans="3:8" x14ac:dyDescent="0.3">
      <c r="C25" t="s">
        <v>106</v>
      </c>
      <c r="F25" s="41"/>
      <c r="G25" s="9"/>
      <c r="H25" s="10"/>
    </row>
    <row r="26" spans="3:8" x14ac:dyDescent="0.3">
      <c r="D26" t="s">
        <v>111</v>
      </c>
      <c r="E26">
        <v>8</v>
      </c>
      <c r="F26" s="41" t="s">
        <v>62</v>
      </c>
      <c r="G26" s="9">
        <v>400</v>
      </c>
      <c r="H26" s="10">
        <f t="shared" si="0"/>
        <v>3200</v>
      </c>
    </row>
    <row r="27" spans="3:8" x14ac:dyDescent="0.3">
      <c r="C27" t="s">
        <v>128</v>
      </c>
      <c r="F27" s="41"/>
      <c r="G27" s="9"/>
      <c r="H27" s="10"/>
    </row>
    <row r="28" spans="3:8" x14ac:dyDescent="0.3">
      <c r="D28" t="s">
        <v>129</v>
      </c>
      <c r="E28">
        <v>16</v>
      </c>
      <c r="F28" s="41" t="s">
        <v>62</v>
      </c>
      <c r="G28" s="9">
        <v>65</v>
      </c>
      <c r="H28" s="10">
        <f t="shared" si="0"/>
        <v>1040</v>
      </c>
    </row>
    <row r="29" spans="3:8" x14ac:dyDescent="0.3">
      <c r="D29" t="s">
        <v>130</v>
      </c>
      <c r="F29" s="41"/>
      <c r="G29" s="9"/>
      <c r="H29" s="38" t="s">
        <v>116</v>
      </c>
    </row>
    <row r="30" spans="3:8" x14ac:dyDescent="0.3">
      <c r="D30" t="s">
        <v>131</v>
      </c>
      <c r="F30" s="41"/>
      <c r="G30" s="9"/>
      <c r="H30" s="38" t="s">
        <v>116</v>
      </c>
    </row>
    <row r="31" spans="3:8" x14ac:dyDescent="0.3">
      <c r="D31" t="s">
        <v>54</v>
      </c>
      <c r="E31">
        <f>8*6</f>
        <v>48</v>
      </c>
      <c r="F31" s="41" t="s">
        <v>58</v>
      </c>
      <c r="G31" s="9">
        <f>VLOOKUP($A$4,zone_lu,4)</f>
        <v>58.866228829999997</v>
      </c>
      <c r="H31" s="10">
        <f t="shared" si="0"/>
        <v>2825.5789838399996</v>
      </c>
    </row>
    <row r="32" spans="3:8" x14ac:dyDescent="0.3">
      <c r="C32" t="s">
        <v>118</v>
      </c>
      <c r="F32" s="41"/>
      <c r="G32" s="9"/>
      <c r="H32" s="10">
        <f t="shared" si="0"/>
        <v>0</v>
      </c>
    </row>
    <row r="33" spans="2:9" x14ac:dyDescent="0.3">
      <c r="D33" t="s">
        <v>121</v>
      </c>
      <c r="F33" s="41"/>
      <c r="G33" s="9"/>
      <c r="H33" s="38" t="s">
        <v>132</v>
      </c>
    </row>
    <row r="34" spans="2:9" x14ac:dyDescent="0.3">
      <c r="D34" t="s">
        <v>54</v>
      </c>
      <c r="F34" s="41"/>
      <c r="G34" s="9"/>
      <c r="H34" s="38" t="s">
        <v>132</v>
      </c>
    </row>
    <row r="35" spans="2:9" x14ac:dyDescent="0.3">
      <c r="E35" s="11"/>
      <c r="F35" s="42"/>
      <c r="G35" s="12"/>
      <c r="H35" s="13">
        <f>SUBTOTAL(9,H12:H34)</f>
        <v>71916.736951519997</v>
      </c>
    </row>
    <row r="36" spans="2:9" x14ac:dyDescent="0.3">
      <c r="E36" s="16"/>
      <c r="F36" s="43"/>
      <c r="G36" s="17"/>
      <c r="H36" s="18"/>
    </row>
    <row r="37" spans="2:9" x14ac:dyDescent="0.3">
      <c r="B37" s="11"/>
      <c r="C37" s="11" t="s">
        <v>71</v>
      </c>
      <c r="D37" s="11"/>
      <c r="E37" s="11"/>
      <c r="F37" s="42"/>
      <c r="G37" s="12"/>
      <c r="H37" s="13">
        <f>SUBTOTAL(9,H6:H36)</f>
        <v>71916.736951519997</v>
      </c>
    </row>
    <row r="38" spans="2:9" x14ac:dyDescent="0.3">
      <c r="F38" s="41"/>
      <c r="G38" s="9"/>
      <c r="H38" s="10">
        <f t="shared" si="0"/>
        <v>0</v>
      </c>
    </row>
    <row r="39" spans="2:9" x14ac:dyDescent="0.3">
      <c r="B39" t="s">
        <v>104</v>
      </c>
      <c r="E39" s="49">
        <f>ROUND(VLOOKUP($A$4,zone_lu,5)*0.6,2)</f>
        <v>0.09</v>
      </c>
      <c r="F39" s="41"/>
      <c r="G39" s="9"/>
      <c r="H39" s="10">
        <f>ROUND(H37*E39,0)</f>
        <v>6473</v>
      </c>
      <c r="I39" s="10">
        <f>ROUND(I37*F39,0)</f>
        <v>0</v>
      </c>
    </row>
    <row r="40" spans="2:9" x14ac:dyDescent="0.3">
      <c r="E40" s="49"/>
      <c r="F40" s="41"/>
      <c r="G40" s="9"/>
      <c r="H40" s="10"/>
      <c r="I40" s="10"/>
    </row>
    <row r="41" spans="2:9" x14ac:dyDescent="0.3">
      <c r="B41" t="s">
        <v>103</v>
      </c>
      <c r="E41" s="49">
        <f>ROUND(VLOOKUP($A$4,zone_lu,6)*0.4,2)</f>
        <v>0.04</v>
      </c>
      <c r="F41" s="41"/>
      <c r="G41" s="9"/>
      <c r="H41" s="10">
        <f>ROUND(SUM(H37:H40)*E41,0)</f>
        <v>3136</v>
      </c>
      <c r="I41" s="10"/>
    </row>
    <row r="42" spans="2:9" x14ac:dyDescent="0.3">
      <c r="E42" s="49"/>
      <c r="F42" s="41"/>
      <c r="G42" s="9"/>
      <c r="H42" s="10"/>
      <c r="I42" s="10"/>
    </row>
    <row r="43" spans="2:9" x14ac:dyDescent="0.3">
      <c r="B43" t="s">
        <v>127</v>
      </c>
      <c r="E43" s="49">
        <f>VLOOKUP($A$4,zone_lu,7)</f>
        <v>1.2500000000000001E-2</v>
      </c>
      <c r="F43" s="41"/>
      <c r="G43" s="9"/>
      <c r="H43" s="10">
        <f>ROUND(SUM(H37:H42)*E43,0)</f>
        <v>1019</v>
      </c>
      <c r="I43" s="10"/>
    </row>
    <row r="44" spans="2:9" x14ac:dyDescent="0.3">
      <c r="E44" s="49"/>
      <c r="F44" s="41"/>
      <c r="G44" s="9"/>
      <c r="H44" s="10"/>
      <c r="I44" s="10"/>
    </row>
    <row r="45" spans="2:9" x14ac:dyDescent="0.3">
      <c r="B45" t="s">
        <v>105</v>
      </c>
      <c r="E45" s="49"/>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82544.736951519997</v>
      </c>
    </row>
    <row r="49" ht="15" thickTop="1" x14ac:dyDescent="0.3"/>
  </sheetData>
  <mergeCells count="1">
    <mergeCell ref="A4:C4"/>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8"/>
  <dimension ref="A1:O49"/>
  <sheetViews>
    <sheetView showGridLines="0" topLeftCell="A9" zoomScale="90" zoomScaleNormal="90" workbookViewId="0">
      <selection activeCell="G20" sqref="G20"/>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New Construction</v>
      </c>
    </row>
    <row r="2" spans="1:15" x14ac:dyDescent="0.3">
      <c r="A2" t="s">
        <v>0</v>
      </c>
    </row>
    <row r="3" spans="1:15" x14ac:dyDescent="0.3">
      <c r="A3" t="s">
        <v>70</v>
      </c>
    </row>
    <row r="4" spans="1:15" ht="14.4" customHeight="1" x14ac:dyDescent="0.3">
      <c r="A4" s="88">
        <v>6</v>
      </c>
      <c r="B4" s="88"/>
      <c r="C4" s="88"/>
    </row>
    <row r="6" spans="1:15" x14ac:dyDescent="0.3">
      <c r="B6" t="s">
        <v>50</v>
      </c>
      <c r="F6" s="41"/>
      <c r="G6" s="9"/>
      <c r="H6" s="8"/>
    </row>
    <row r="7" spans="1:15" x14ac:dyDescent="0.3">
      <c r="C7" t="s">
        <v>120</v>
      </c>
      <c r="F7" s="41"/>
      <c r="G7" s="9"/>
      <c r="H7" s="38" t="s">
        <v>116</v>
      </c>
    </row>
    <row r="8" spans="1:15" x14ac:dyDescent="0.3">
      <c r="D8" t="s">
        <v>54</v>
      </c>
      <c r="E8">
        <v>32</v>
      </c>
      <c r="F8" s="41"/>
      <c r="G8" s="9"/>
      <c r="H8" s="10"/>
    </row>
    <row r="9" spans="1:15" x14ac:dyDescent="0.3">
      <c r="D9" t="s">
        <v>59</v>
      </c>
      <c r="F9" s="41"/>
      <c r="G9" s="9"/>
      <c r="H9" s="10"/>
    </row>
    <row r="10" spans="1:15" x14ac:dyDescent="0.3">
      <c r="E10" s="11"/>
      <c r="F10" s="42"/>
      <c r="G10" s="12"/>
      <c r="H10" s="13">
        <f>SUBTOTAL(9,H6:H9)</f>
        <v>0</v>
      </c>
    </row>
    <row r="11" spans="1:15" x14ac:dyDescent="0.3">
      <c r="F11" s="41"/>
      <c r="G11" s="9"/>
      <c r="H11" s="10">
        <f t="shared" ref="H11:H38" si="0">E11*G11</f>
        <v>0</v>
      </c>
    </row>
    <row r="12" spans="1:15" x14ac:dyDescent="0.3">
      <c r="B12" t="s">
        <v>51</v>
      </c>
      <c r="F12" s="41"/>
      <c r="G12" s="9"/>
      <c r="H12" s="10">
        <f t="shared" si="0"/>
        <v>0</v>
      </c>
    </row>
    <row r="13" spans="1:15" x14ac:dyDescent="0.3">
      <c r="C13" t="s">
        <v>53</v>
      </c>
      <c r="F13" s="41"/>
      <c r="G13" s="9"/>
      <c r="H13" s="39" t="s">
        <v>117</v>
      </c>
    </row>
    <row r="14" spans="1:15" x14ac:dyDescent="0.3">
      <c r="D14" t="s">
        <v>61</v>
      </c>
      <c r="F14" s="41"/>
      <c r="G14" s="29"/>
      <c r="H14" s="10"/>
    </row>
    <row r="15" spans="1:15" x14ac:dyDescent="0.3">
      <c r="D15" s="14" t="s">
        <v>73</v>
      </c>
      <c r="F15" s="41"/>
      <c r="G15" s="29"/>
      <c r="H15" s="10"/>
    </row>
    <row r="16" spans="1:15" x14ac:dyDescent="0.3">
      <c r="D16" t="s">
        <v>64</v>
      </c>
      <c r="F16" s="41"/>
      <c r="G16" s="29"/>
      <c r="H16" s="10"/>
    </row>
    <row r="17" spans="3:8" x14ac:dyDescent="0.3">
      <c r="D17" t="s">
        <v>54</v>
      </c>
      <c r="F17" s="41"/>
      <c r="G17" s="9"/>
      <c r="H17" s="10"/>
    </row>
    <row r="18" spans="3:8" x14ac:dyDescent="0.3">
      <c r="C18" t="s">
        <v>52</v>
      </c>
      <c r="F18" s="41"/>
      <c r="G18" s="9"/>
      <c r="H18" s="10">
        <f t="shared" si="0"/>
        <v>0</v>
      </c>
    </row>
    <row r="19" spans="3:8" x14ac:dyDescent="0.3">
      <c r="D19" t="s">
        <v>66</v>
      </c>
      <c r="E19">
        <v>8</v>
      </c>
      <c r="F19" s="41" t="s">
        <v>62</v>
      </c>
      <c r="G19" s="29">
        <v>4400</v>
      </c>
      <c r="H19" s="10">
        <f t="shared" si="0"/>
        <v>35200</v>
      </c>
    </row>
    <row r="20" spans="3:8" ht="30" customHeight="1" x14ac:dyDescent="0.3">
      <c r="D20" s="24" t="s">
        <v>81</v>
      </c>
      <c r="F20" s="41"/>
      <c r="G20" s="9"/>
      <c r="H20" s="10">
        <f t="shared" si="0"/>
        <v>0</v>
      </c>
    </row>
    <row r="21" spans="3:8" x14ac:dyDescent="0.3">
      <c r="D21" s="15" t="s">
        <v>68</v>
      </c>
      <c r="E21">
        <v>8</v>
      </c>
      <c r="F21" s="41" t="s">
        <v>62</v>
      </c>
      <c r="G21" s="9">
        <v>100</v>
      </c>
      <c r="H21" s="10">
        <f t="shared" si="0"/>
        <v>800</v>
      </c>
    </row>
    <row r="22" spans="3:8" x14ac:dyDescent="0.3">
      <c r="D22" s="15" t="s">
        <v>114</v>
      </c>
      <c r="E22">
        <v>800</v>
      </c>
      <c r="F22" s="41" t="s">
        <v>67</v>
      </c>
      <c r="G22" s="9">
        <v>4</v>
      </c>
      <c r="H22" s="10">
        <f t="shared" si="0"/>
        <v>3200</v>
      </c>
    </row>
    <row r="23" spans="3:8" x14ac:dyDescent="0.3">
      <c r="D23" t="s">
        <v>64</v>
      </c>
      <c r="E23">
        <v>8</v>
      </c>
      <c r="F23" s="41" t="s">
        <v>60</v>
      </c>
      <c r="G23" s="9">
        <v>400</v>
      </c>
      <c r="H23" s="10">
        <f t="shared" si="0"/>
        <v>3200</v>
      </c>
    </row>
    <row r="24" spans="3:8" x14ac:dyDescent="0.3">
      <c r="D24" t="s">
        <v>54</v>
      </c>
      <c r="E24">
        <v>96</v>
      </c>
      <c r="F24" s="41" t="s">
        <v>58</v>
      </c>
      <c r="G24" s="9">
        <f>VLOOKUP($A$4,zone_lu,4)</f>
        <v>58.866228829999997</v>
      </c>
      <c r="H24" s="10">
        <f t="shared" si="0"/>
        <v>5651.1579676799993</v>
      </c>
    </row>
    <row r="25" spans="3:8" x14ac:dyDescent="0.3">
      <c r="C25" t="s">
        <v>106</v>
      </c>
      <c r="F25" s="41"/>
      <c r="G25" s="9"/>
      <c r="H25" s="10"/>
    </row>
    <row r="26" spans="3:8" x14ac:dyDescent="0.3">
      <c r="D26" t="s">
        <v>111</v>
      </c>
      <c r="E26">
        <v>8</v>
      </c>
      <c r="F26" s="41" t="s">
        <v>62</v>
      </c>
      <c r="G26" s="9">
        <v>400</v>
      </c>
      <c r="H26" s="10">
        <f t="shared" si="0"/>
        <v>3200</v>
      </c>
    </row>
    <row r="27" spans="3:8" x14ac:dyDescent="0.3">
      <c r="C27" t="s">
        <v>128</v>
      </c>
      <c r="F27" s="41"/>
      <c r="G27" s="9"/>
      <c r="H27" s="10"/>
    </row>
    <row r="28" spans="3:8" x14ac:dyDescent="0.3">
      <c r="D28" t="s">
        <v>129</v>
      </c>
      <c r="E28">
        <v>16</v>
      </c>
      <c r="F28" s="41" t="s">
        <v>62</v>
      </c>
      <c r="G28" s="9">
        <v>65</v>
      </c>
      <c r="H28" s="10">
        <f t="shared" si="0"/>
        <v>1040</v>
      </c>
    </row>
    <row r="29" spans="3:8" x14ac:dyDescent="0.3">
      <c r="D29" t="s">
        <v>130</v>
      </c>
      <c r="F29" s="41"/>
      <c r="G29" s="9"/>
      <c r="H29" s="38" t="s">
        <v>116</v>
      </c>
    </row>
    <row r="30" spans="3:8" x14ac:dyDescent="0.3">
      <c r="D30" t="s">
        <v>131</v>
      </c>
      <c r="F30" s="41"/>
      <c r="G30" s="9"/>
      <c r="H30" s="38" t="s">
        <v>116</v>
      </c>
    </row>
    <row r="31" spans="3:8" x14ac:dyDescent="0.3">
      <c r="D31" t="s">
        <v>54</v>
      </c>
      <c r="E31">
        <f>8*6</f>
        <v>48</v>
      </c>
      <c r="F31" s="41" t="s">
        <v>58</v>
      </c>
      <c r="G31" s="9">
        <f>VLOOKUP($A$4,zone_lu,4)</f>
        <v>58.866228829999997</v>
      </c>
      <c r="H31" s="10">
        <f t="shared" si="0"/>
        <v>2825.5789838399996</v>
      </c>
    </row>
    <row r="32" spans="3:8" x14ac:dyDescent="0.3">
      <c r="C32" t="s">
        <v>118</v>
      </c>
      <c r="F32" s="41"/>
      <c r="G32" s="9"/>
      <c r="H32" s="10">
        <f t="shared" si="0"/>
        <v>0</v>
      </c>
    </row>
    <row r="33" spans="2:9" x14ac:dyDescent="0.3">
      <c r="D33" t="s">
        <v>121</v>
      </c>
      <c r="F33" s="41"/>
      <c r="G33" s="9"/>
      <c r="H33" s="38" t="s">
        <v>132</v>
      </c>
    </row>
    <row r="34" spans="2:9" x14ac:dyDescent="0.3">
      <c r="D34" t="s">
        <v>54</v>
      </c>
      <c r="F34" s="41"/>
      <c r="G34" s="9"/>
      <c r="H34" s="38" t="s">
        <v>132</v>
      </c>
    </row>
    <row r="35" spans="2:9" x14ac:dyDescent="0.3">
      <c r="E35" s="11"/>
      <c r="F35" s="42"/>
      <c r="G35" s="12"/>
      <c r="H35" s="13">
        <f>SUBTOTAL(9,H12:H34)</f>
        <v>55116.736951520004</v>
      </c>
    </row>
    <row r="36" spans="2:9" x14ac:dyDescent="0.3">
      <c r="E36" s="16"/>
      <c r="F36" s="43"/>
      <c r="G36" s="17"/>
      <c r="H36" s="18"/>
    </row>
    <row r="37" spans="2:9" x14ac:dyDescent="0.3">
      <c r="B37" s="11"/>
      <c r="C37" s="11" t="s">
        <v>71</v>
      </c>
      <c r="D37" s="11"/>
      <c r="E37" s="11"/>
      <c r="F37" s="42"/>
      <c r="G37" s="12"/>
      <c r="H37" s="13">
        <f>SUBTOTAL(9,H6:H36)</f>
        <v>55116.736951520004</v>
      </c>
    </row>
    <row r="38" spans="2:9" x14ac:dyDescent="0.3">
      <c r="F38" s="41"/>
      <c r="G38" s="9"/>
      <c r="H38" s="10">
        <f t="shared" si="0"/>
        <v>0</v>
      </c>
    </row>
    <row r="39" spans="2:9" x14ac:dyDescent="0.3">
      <c r="B39" t="s">
        <v>104</v>
      </c>
      <c r="E39" s="49">
        <f>ROUND(VLOOKUP($A$4,zone_lu,5)*0.6,2)</f>
        <v>0.09</v>
      </c>
      <c r="F39" s="41"/>
      <c r="G39" s="9"/>
      <c r="H39" s="10">
        <f>ROUND(H37*E39,0)</f>
        <v>4961</v>
      </c>
      <c r="I39" s="10">
        <f>ROUND(I37*F39,0)</f>
        <v>0</v>
      </c>
    </row>
    <row r="40" spans="2:9" x14ac:dyDescent="0.3">
      <c r="E40" s="49"/>
      <c r="F40" s="41"/>
      <c r="G40" s="9"/>
      <c r="H40" s="10"/>
      <c r="I40" s="10"/>
    </row>
    <row r="41" spans="2:9" x14ac:dyDescent="0.3">
      <c r="B41" t="s">
        <v>103</v>
      </c>
      <c r="E41" s="49">
        <f>ROUND(VLOOKUP($A$4,zone_lu,6)*0.4,2)</f>
        <v>0.04</v>
      </c>
      <c r="F41" s="41"/>
      <c r="G41" s="9"/>
      <c r="H41" s="10">
        <f>ROUND(SUM(H37:H40)*E41,0)</f>
        <v>2403</v>
      </c>
      <c r="I41" s="10"/>
    </row>
    <row r="42" spans="2:9" x14ac:dyDescent="0.3">
      <c r="E42" s="49"/>
      <c r="F42" s="41"/>
      <c r="G42" s="9"/>
      <c r="H42" s="10"/>
      <c r="I42" s="10"/>
    </row>
    <row r="43" spans="2:9" x14ac:dyDescent="0.3">
      <c r="B43" t="s">
        <v>127</v>
      </c>
      <c r="E43" s="49">
        <f>VLOOKUP($A$4,zone_lu,7)</f>
        <v>1.2500000000000001E-2</v>
      </c>
      <c r="F43" s="41"/>
      <c r="G43" s="9"/>
      <c r="H43" s="10">
        <f>ROUND(SUM(H37:H42)*E43,0)</f>
        <v>781</v>
      </c>
      <c r="I43" s="10"/>
    </row>
    <row r="44" spans="2:9" x14ac:dyDescent="0.3">
      <c r="E44" s="49"/>
      <c r="F44" s="41"/>
      <c r="G44" s="9"/>
      <c r="H44" s="10"/>
      <c r="I44" s="10"/>
    </row>
    <row r="45" spans="2:9" x14ac:dyDescent="0.3">
      <c r="B45" t="s">
        <v>105</v>
      </c>
      <c r="E45" s="49"/>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63261.736951520004</v>
      </c>
    </row>
    <row r="49" ht="15" thickTop="1" x14ac:dyDescent="0.3"/>
  </sheetData>
  <mergeCells count="1">
    <mergeCell ref="A4:C4"/>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826A7-547A-47C1-A192-5F0D22BC3E4A}">
  <sheetPr codeName="Sheet41"/>
  <dimension ref="A1:O49"/>
  <sheetViews>
    <sheetView showGridLines="0" topLeftCell="A7" zoomScale="90" zoomScaleNormal="90" workbookViewId="0">
      <selection activeCell="G20" sqref="G20"/>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New Construction</v>
      </c>
    </row>
    <row r="2" spans="1:15" x14ac:dyDescent="0.3">
      <c r="A2" t="s">
        <v>0</v>
      </c>
    </row>
    <row r="3" spans="1:15" x14ac:dyDescent="0.3">
      <c r="A3" t="s">
        <v>70</v>
      </c>
    </row>
    <row r="4" spans="1:15" ht="14.4" customHeight="1" x14ac:dyDescent="0.3">
      <c r="A4" s="88">
        <v>6</v>
      </c>
      <c r="B4" s="88"/>
      <c r="C4" s="88"/>
    </row>
    <row r="6" spans="1:15" x14ac:dyDescent="0.3">
      <c r="B6" t="s">
        <v>50</v>
      </c>
      <c r="F6" s="41"/>
      <c r="G6" s="9"/>
      <c r="H6" s="8"/>
    </row>
    <row r="7" spans="1:15" x14ac:dyDescent="0.3">
      <c r="C7" t="s">
        <v>120</v>
      </c>
      <c r="F7" s="41"/>
      <c r="G7" s="9"/>
      <c r="H7" s="38" t="s">
        <v>116</v>
      </c>
    </row>
    <row r="8" spans="1:15" x14ac:dyDescent="0.3">
      <c r="D8" t="s">
        <v>54</v>
      </c>
      <c r="E8">
        <v>32</v>
      </c>
      <c r="F8" s="41"/>
      <c r="G8" s="9"/>
      <c r="H8" s="10"/>
    </row>
    <row r="9" spans="1:15" x14ac:dyDescent="0.3">
      <c r="D9" t="s">
        <v>59</v>
      </c>
      <c r="F9" s="41"/>
      <c r="G9" s="9"/>
      <c r="H9" s="10"/>
    </row>
    <row r="10" spans="1:15" x14ac:dyDescent="0.3">
      <c r="E10" s="11"/>
      <c r="F10" s="42"/>
      <c r="G10" s="12"/>
      <c r="H10" s="13">
        <f>SUBTOTAL(9,H6:H9)</f>
        <v>0</v>
      </c>
    </row>
    <row r="11" spans="1:15" x14ac:dyDescent="0.3">
      <c r="F11" s="41"/>
      <c r="G11" s="9"/>
      <c r="H11" s="10">
        <f t="shared" ref="H11:H38" si="0">E11*G11</f>
        <v>0</v>
      </c>
    </row>
    <row r="12" spans="1:15" x14ac:dyDescent="0.3">
      <c r="B12" t="s">
        <v>51</v>
      </c>
      <c r="F12" s="41"/>
      <c r="G12" s="9"/>
      <c r="H12" s="10">
        <f t="shared" si="0"/>
        <v>0</v>
      </c>
    </row>
    <row r="13" spans="1:15" x14ac:dyDescent="0.3">
      <c r="C13" t="s">
        <v>53</v>
      </c>
      <c r="F13" s="41"/>
      <c r="G13" s="9"/>
      <c r="H13" s="39" t="s">
        <v>117</v>
      </c>
    </row>
    <row r="14" spans="1:15" x14ac:dyDescent="0.3">
      <c r="D14" t="s">
        <v>61</v>
      </c>
      <c r="F14" s="41"/>
      <c r="G14" s="29"/>
      <c r="H14" s="10"/>
    </row>
    <row r="15" spans="1:15" x14ac:dyDescent="0.3">
      <c r="D15" s="14" t="s">
        <v>73</v>
      </c>
      <c r="F15" s="41"/>
      <c r="G15" s="29"/>
      <c r="H15" s="10"/>
    </row>
    <row r="16" spans="1:15" x14ac:dyDescent="0.3">
      <c r="D16" t="s">
        <v>64</v>
      </c>
      <c r="F16" s="41"/>
      <c r="G16" s="29"/>
      <c r="H16" s="10"/>
    </row>
    <row r="17" spans="3:8" x14ac:dyDescent="0.3">
      <c r="D17" t="s">
        <v>54</v>
      </c>
      <c r="F17" s="41"/>
      <c r="G17" s="9"/>
      <c r="H17" s="10"/>
    </row>
    <row r="18" spans="3:8" x14ac:dyDescent="0.3">
      <c r="C18" t="s">
        <v>52</v>
      </c>
      <c r="F18" s="41"/>
      <c r="G18" s="9"/>
      <c r="H18" s="10">
        <f t="shared" si="0"/>
        <v>0</v>
      </c>
    </row>
    <row r="19" spans="3:8" x14ac:dyDescent="0.3">
      <c r="D19" t="s">
        <v>66</v>
      </c>
      <c r="E19">
        <v>8</v>
      </c>
      <c r="F19" s="41" t="s">
        <v>62</v>
      </c>
      <c r="G19" s="29">
        <f>'LRMF NC Electric Z6'!G19*'LRMF NC Electric Z3 O2'!G19/'LRMF NC Electric Z3 S'!G19</f>
        <v>5958.333333333333</v>
      </c>
      <c r="H19" s="10">
        <f t="shared" si="0"/>
        <v>47666.666666666664</v>
      </c>
    </row>
    <row r="20" spans="3:8" ht="30" customHeight="1" x14ac:dyDescent="0.3">
      <c r="D20" s="24" t="s">
        <v>146</v>
      </c>
      <c r="F20" s="41"/>
      <c r="G20" s="9"/>
      <c r="H20" s="10">
        <f t="shared" si="0"/>
        <v>0</v>
      </c>
    </row>
    <row r="21" spans="3:8" x14ac:dyDescent="0.3">
      <c r="D21" s="15" t="s">
        <v>68</v>
      </c>
      <c r="E21">
        <v>8</v>
      </c>
      <c r="F21" s="41" t="s">
        <v>62</v>
      </c>
      <c r="G21" s="9">
        <v>100</v>
      </c>
      <c r="H21" s="10">
        <f t="shared" si="0"/>
        <v>800</v>
      </c>
    </row>
    <row r="22" spans="3:8" x14ac:dyDescent="0.3">
      <c r="D22" s="15" t="s">
        <v>114</v>
      </c>
      <c r="E22">
        <v>800</v>
      </c>
      <c r="F22" s="41" t="s">
        <v>67</v>
      </c>
      <c r="G22" s="9">
        <v>4</v>
      </c>
      <c r="H22" s="10">
        <f t="shared" si="0"/>
        <v>3200</v>
      </c>
    </row>
    <row r="23" spans="3:8" x14ac:dyDescent="0.3">
      <c r="D23" t="s">
        <v>64</v>
      </c>
      <c r="E23">
        <v>8</v>
      </c>
      <c r="F23" s="41" t="s">
        <v>60</v>
      </c>
      <c r="G23" s="9">
        <v>400</v>
      </c>
      <c r="H23" s="10">
        <f t="shared" si="0"/>
        <v>3200</v>
      </c>
    </row>
    <row r="24" spans="3:8" x14ac:dyDescent="0.3">
      <c r="D24" t="s">
        <v>54</v>
      </c>
      <c r="E24">
        <v>96</v>
      </c>
      <c r="F24" s="41" t="s">
        <v>58</v>
      </c>
      <c r="G24" s="9">
        <f>VLOOKUP($A$4,zone_lu,4)</f>
        <v>58.866228829999997</v>
      </c>
      <c r="H24" s="10">
        <f t="shared" si="0"/>
        <v>5651.1579676799993</v>
      </c>
    </row>
    <row r="25" spans="3:8" x14ac:dyDescent="0.3">
      <c r="C25" t="s">
        <v>106</v>
      </c>
      <c r="F25" s="41"/>
      <c r="G25" s="9"/>
      <c r="H25" s="10"/>
    </row>
    <row r="26" spans="3:8" x14ac:dyDescent="0.3">
      <c r="D26" t="s">
        <v>111</v>
      </c>
      <c r="E26">
        <v>8</v>
      </c>
      <c r="F26" s="41" t="s">
        <v>62</v>
      </c>
      <c r="G26" s="9">
        <v>400</v>
      </c>
      <c r="H26" s="10">
        <f t="shared" si="0"/>
        <v>3200</v>
      </c>
    </row>
    <row r="27" spans="3:8" x14ac:dyDescent="0.3">
      <c r="C27" t="s">
        <v>128</v>
      </c>
      <c r="F27" s="41"/>
      <c r="G27" s="9"/>
      <c r="H27" s="10"/>
    </row>
    <row r="28" spans="3:8" x14ac:dyDescent="0.3">
      <c r="D28" t="s">
        <v>129</v>
      </c>
      <c r="E28">
        <v>16</v>
      </c>
      <c r="F28" s="41" t="s">
        <v>62</v>
      </c>
      <c r="G28" s="9">
        <v>65</v>
      </c>
      <c r="H28" s="10">
        <f t="shared" si="0"/>
        <v>1040</v>
      </c>
    </row>
    <row r="29" spans="3:8" x14ac:dyDescent="0.3">
      <c r="D29" t="s">
        <v>130</v>
      </c>
      <c r="F29" s="41"/>
      <c r="G29" s="9"/>
      <c r="H29" s="38" t="s">
        <v>116</v>
      </c>
    </row>
    <row r="30" spans="3:8" x14ac:dyDescent="0.3">
      <c r="D30" t="s">
        <v>131</v>
      </c>
      <c r="F30" s="41"/>
      <c r="G30" s="9"/>
      <c r="H30" s="38" t="s">
        <v>116</v>
      </c>
    </row>
    <row r="31" spans="3:8" x14ac:dyDescent="0.3">
      <c r="D31" t="s">
        <v>54</v>
      </c>
      <c r="E31">
        <f>8*6</f>
        <v>48</v>
      </c>
      <c r="F31" s="41" t="s">
        <v>58</v>
      </c>
      <c r="G31" s="9">
        <f>VLOOKUP($A$4,zone_lu,4)</f>
        <v>58.866228829999997</v>
      </c>
      <c r="H31" s="10">
        <f t="shared" si="0"/>
        <v>2825.5789838399996</v>
      </c>
    </row>
    <row r="32" spans="3:8" x14ac:dyDescent="0.3">
      <c r="C32" t="s">
        <v>118</v>
      </c>
      <c r="F32" s="41"/>
      <c r="G32" s="9"/>
      <c r="H32" s="10">
        <f t="shared" si="0"/>
        <v>0</v>
      </c>
    </row>
    <row r="33" spans="2:9" x14ac:dyDescent="0.3">
      <c r="D33" t="s">
        <v>121</v>
      </c>
      <c r="F33" s="41"/>
      <c r="G33" s="9"/>
      <c r="H33" s="38" t="s">
        <v>132</v>
      </c>
    </row>
    <row r="34" spans="2:9" x14ac:dyDescent="0.3">
      <c r="D34" t="s">
        <v>54</v>
      </c>
      <c r="F34" s="41"/>
      <c r="G34" s="9"/>
      <c r="H34" s="38" t="s">
        <v>132</v>
      </c>
    </row>
    <row r="35" spans="2:9" x14ac:dyDescent="0.3">
      <c r="E35" s="11"/>
      <c r="F35" s="42"/>
      <c r="G35" s="12"/>
      <c r="H35" s="13">
        <f>SUBTOTAL(9,H12:H34)</f>
        <v>67583.403618186654</v>
      </c>
    </row>
    <row r="36" spans="2:9" x14ac:dyDescent="0.3">
      <c r="E36" s="16"/>
      <c r="F36" s="43"/>
      <c r="G36" s="17"/>
      <c r="H36" s="18"/>
    </row>
    <row r="37" spans="2:9" x14ac:dyDescent="0.3">
      <c r="B37" s="11"/>
      <c r="C37" s="11" t="s">
        <v>71</v>
      </c>
      <c r="D37" s="11"/>
      <c r="E37" s="11"/>
      <c r="F37" s="42"/>
      <c r="G37" s="12"/>
      <c r="H37" s="13">
        <f>SUBTOTAL(9,H6:H36)</f>
        <v>67583.403618186654</v>
      </c>
    </row>
    <row r="38" spans="2:9" x14ac:dyDescent="0.3">
      <c r="F38" s="41"/>
      <c r="G38" s="9"/>
      <c r="H38" s="10">
        <f t="shared" si="0"/>
        <v>0</v>
      </c>
    </row>
    <row r="39" spans="2:9" x14ac:dyDescent="0.3">
      <c r="B39" t="s">
        <v>104</v>
      </c>
      <c r="E39" s="49">
        <f>ROUND(VLOOKUP($A$4,zone_lu,5)*0.6,2)</f>
        <v>0.09</v>
      </c>
      <c r="F39" s="41"/>
      <c r="G39" s="9"/>
      <c r="H39" s="10">
        <f>ROUND(H37*E39,0)</f>
        <v>6083</v>
      </c>
      <c r="I39" s="10">
        <f>ROUND(I37*F39,0)</f>
        <v>0</v>
      </c>
    </row>
    <row r="40" spans="2:9" x14ac:dyDescent="0.3">
      <c r="E40" s="49"/>
      <c r="F40" s="41"/>
      <c r="G40" s="9"/>
      <c r="H40" s="10"/>
      <c r="I40" s="10"/>
    </row>
    <row r="41" spans="2:9" x14ac:dyDescent="0.3">
      <c r="B41" t="s">
        <v>103</v>
      </c>
      <c r="E41" s="49">
        <f>ROUND(VLOOKUP($A$4,zone_lu,6)*0.4,2)</f>
        <v>0.04</v>
      </c>
      <c r="F41" s="41"/>
      <c r="G41" s="9"/>
      <c r="H41" s="10">
        <f>ROUND(SUM(H37:H40)*E41,0)</f>
        <v>2947</v>
      </c>
      <c r="I41" s="10"/>
    </row>
    <row r="42" spans="2:9" x14ac:dyDescent="0.3">
      <c r="E42" s="49"/>
      <c r="F42" s="41"/>
      <c r="G42" s="9"/>
      <c r="H42" s="10"/>
      <c r="I42" s="10"/>
    </row>
    <row r="43" spans="2:9" x14ac:dyDescent="0.3">
      <c r="B43" t="s">
        <v>127</v>
      </c>
      <c r="E43" s="49">
        <f>VLOOKUP($A$4,zone_lu,7)</f>
        <v>1.2500000000000001E-2</v>
      </c>
      <c r="F43" s="41"/>
      <c r="G43" s="9"/>
      <c r="H43" s="10">
        <f>ROUND(SUM(H37:H42)*E43,0)</f>
        <v>958</v>
      </c>
      <c r="I43" s="10"/>
    </row>
    <row r="44" spans="2:9" x14ac:dyDescent="0.3">
      <c r="E44" s="49"/>
      <c r="F44" s="41"/>
      <c r="G44" s="9"/>
      <c r="H44" s="10"/>
      <c r="I44" s="10"/>
    </row>
    <row r="45" spans="2:9" x14ac:dyDescent="0.3">
      <c r="B45" t="s">
        <v>105</v>
      </c>
      <c r="E45" s="49"/>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77571.403618186654</v>
      </c>
    </row>
    <row r="49" ht="15" thickTop="1" x14ac:dyDescent="0.3"/>
  </sheetData>
  <mergeCells count="1">
    <mergeCell ref="A4:C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1D1206-92D0-4D17-9A99-7D8D44F0000A}">
  <sheetPr>
    <tabColor theme="7" tint="0.79998168889431442"/>
  </sheetPr>
  <dimension ref="A1:Q50"/>
  <sheetViews>
    <sheetView showGridLines="0" zoomScale="90" zoomScaleNormal="90" workbookViewId="0">
      <pane xSplit="5" ySplit="8" topLeftCell="F27" activePane="bottomRight" state="frozen"/>
      <selection activeCell="H33" sqref="H33:H34"/>
      <selection pane="topRight" activeCell="H33" sqref="H33:H34"/>
      <selection pane="bottomLeft" activeCell="H33" sqref="H33:H34"/>
      <selection pane="bottomRight" activeCell="Q33" sqref="I33:Q34"/>
    </sheetView>
  </sheetViews>
  <sheetFormatPr defaultRowHeight="14.4" x14ac:dyDescent="0.3"/>
  <cols>
    <col min="1" max="3" width="3.6640625" customWidth="1"/>
    <col min="4" max="4" width="34.33203125" bestFit="1" customWidth="1"/>
    <col min="5" max="5" width="9" customWidth="1"/>
    <col min="6" max="6" width="6.6640625" customWidth="1"/>
    <col min="8" max="8" width="9.109375" bestFit="1" customWidth="1"/>
  </cols>
  <sheetData>
    <row r="1" spans="1:17" x14ac:dyDescent="0.3">
      <c r="A1" t="s">
        <v>1</v>
      </c>
      <c r="F1" s="59"/>
    </row>
    <row r="2" spans="1:17" x14ac:dyDescent="0.3">
      <c r="A2" t="s">
        <v>0</v>
      </c>
      <c r="F2" t="s">
        <v>170</v>
      </c>
      <c r="H2" s="62"/>
      <c r="I2" t="s">
        <v>171</v>
      </c>
      <c r="K2" s="62"/>
      <c r="L2" t="s">
        <v>172</v>
      </c>
      <c r="N2" s="62"/>
      <c r="O2" t="s">
        <v>173</v>
      </c>
      <c r="Q2" s="62"/>
    </row>
    <row r="3" spans="1:17" ht="15" customHeight="1" x14ac:dyDescent="0.3">
      <c r="A3" t="s">
        <v>70</v>
      </c>
      <c r="F3" s="86" t="s">
        <v>174</v>
      </c>
      <c r="G3" s="86"/>
      <c r="H3" s="87"/>
      <c r="I3" s="86" t="s">
        <v>174</v>
      </c>
      <c r="J3" s="86"/>
      <c r="K3" s="87"/>
      <c r="L3" s="86" t="s">
        <v>174</v>
      </c>
      <c r="M3" s="86"/>
      <c r="N3" s="87"/>
      <c r="O3" s="86" t="s">
        <v>175</v>
      </c>
      <c r="P3" s="86"/>
      <c r="Q3" s="87"/>
    </row>
    <row r="4" spans="1:17" ht="14.4" customHeight="1" x14ac:dyDescent="0.3">
      <c r="A4" s="88"/>
      <c r="B4" s="88"/>
      <c r="C4" s="88"/>
      <c r="F4" s="89" t="s">
        <v>18</v>
      </c>
      <c r="G4" s="86"/>
      <c r="H4" s="87"/>
      <c r="I4" s="89" t="s">
        <v>80</v>
      </c>
      <c r="J4" s="86"/>
      <c r="K4" s="87"/>
      <c r="L4" s="89" t="s">
        <v>65</v>
      </c>
      <c r="M4" s="86"/>
      <c r="N4" s="87"/>
      <c r="O4" s="89" t="s">
        <v>75</v>
      </c>
      <c r="P4" s="86"/>
      <c r="Q4" s="87"/>
    </row>
    <row r="5" spans="1:17" ht="14.4" customHeight="1" x14ac:dyDescent="0.3">
      <c r="A5" s="57"/>
      <c r="B5" s="57"/>
      <c r="C5" s="57"/>
      <c r="F5" s="89"/>
      <c r="G5" s="86"/>
      <c r="H5" s="87"/>
      <c r="I5" s="89"/>
      <c r="J5" s="86"/>
      <c r="K5" s="87"/>
      <c r="L5" s="89"/>
      <c r="M5" s="86"/>
      <c r="N5" s="87"/>
      <c r="O5" s="89"/>
      <c r="P5" s="86"/>
      <c r="Q5" s="87"/>
    </row>
    <row r="6" spans="1:17" x14ac:dyDescent="0.3">
      <c r="F6" s="89"/>
      <c r="G6" s="86"/>
      <c r="H6" s="87"/>
      <c r="I6" s="89"/>
      <c r="J6" s="86"/>
      <c r="K6" s="87"/>
      <c r="L6" s="89"/>
      <c r="M6" s="86"/>
      <c r="N6" s="87"/>
      <c r="O6" s="89"/>
      <c r="P6" s="86"/>
      <c r="Q6" s="87"/>
    </row>
    <row r="7" spans="1:17" x14ac:dyDescent="0.3">
      <c r="B7" t="s">
        <v>50</v>
      </c>
      <c r="F7" s="89"/>
      <c r="G7" s="86"/>
      <c r="H7" s="87"/>
      <c r="I7" s="89"/>
      <c r="J7" s="86"/>
      <c r="K7" s="87"/>
      <c r="L7" s="89"/>
      <c r="M7" s="86"/>
      <c r="N7" s="87"/>
      <c r="O7" s="89"/>
      <c r="P7" s="86"/>
      <c r="Q7" s="87"/>
    </row>
    <row r="8" spans="1:17" x14ac:dyDescent="0.3">
      <c r="C8" t="s">
        <v>120</v>
      </c>
      <c r="F8" s="9" t="s">
        <v>165</v>
      </c>
      <c r="G8" s="9" t="s">
        <v>165</v>
      </c>
      <c r="H8" s="61" t="s">
        <v>165</v>
      </c>
      <c r="I8" s="9" t="s">
        <v>165</v>
      </c>
      <c r="J8" s="9" t="s">
        <v>165</v>
      </c>
      <c r="K8" s="61" t="s">
        <v>165</v>
      </c>
      <c r="L8" s="9" t="s">
        <v>165</v>
      </c>
      <c r="M8" s="9" t="s">
        <v>165</v>
      </c>
      <c r="N8" s="61" t="s">
        <v>165</v>
      </c>
      <c r="O8" s="9" t="s">
        <v>165</v>
      </c>
      <c r="P8" s="9" t="s">
        <v>165</v>
      </c>
      <c r="Q8" s="61" t="s">
        <v>165</v>
      </c>
    </row>
    <row r="9" spans="1:17" x14ac:dyDescent="0.3">
      <c r="D9" t="s">
        <v>54</v>
      </c>
      <c r="E9" t="s">
        <v>58</v>
      </c>
      <c r="F9" s="9" t="s">
        <v>165</v>
      </c>
      <c r="G9" s="9" t="s">
        <v>165</v>
      </c>
      <c r="H9" s="61" t="s">
        <v>165</v>
      </c>
      <c r="I9" s="9" t="s">
        <v>165</v>
      </c>
      <c r="J9" s="9" t="s">
        <v>165</v>
      </c>
      <c r="K9" s="61" t="s">
        <v>165</v>
      </c>
      <c r="L9" s="9" t="s">
        <v>165</v>
      </c>
      <c r="M9" s="9" t="s">
        <v>165</v>
      </c>
      <c r="N9" s="61" t="s">
        <v>165</v>
      </c>
      <c r="O9" s="9" t="s">
        <v>165</v>
      </c>
      <c r="P9" s="9" t="s">
        <v>165</v>
      </c>
      <c r="Q9" s="61" t="s">
        <v>165</v>
      </c>
    </row>
    <row r="10" spans="1:17" x14ac:dyDescent="0.3">
      <c r="D10" t="s">
        <v>59</v>
      </c>
      <c r="E10" t="s">
        <v>60</v>
      </c>
      <c r="H10" s="61" t="s">
        <v>165</v>
      </c>
      <c r="K10" s="61" t="s">
        <v>165</v>
      </c>
      <c r="N10" s="61" t="s">
        <v>165</v>
      </c>
      <c r="Q10" s="61" t="s">
        <v>165</v>
      </c>
    </row>
    <row r="11" spans="1:17" x14ac:dyDescent="0.3">
      <c r="E11" s="11"/>
      <c r="H11" s="62"/>
      <c r="K11" s="62"/>
      <c r="N11" s="62"/>
      <c r="Q11" s="62"/>
    </row>
    <row r="12" spans="1:17" x14ac:dyDescent="0.3">
      <c r="B12" t="s">
        <v>51</v>
      </c>
      <c r="F12" s="41"/>
      <c r="G12" s="9"/>
      <c r="H12" s="61">
        <v>0</v>
      </c>
      <c r="I12" s="41"/>
      <c r="J12" s="9"/>
      <c r="K12" s="61">
        <v>0</v>
      </c>
      <c r="L12" s="41"/>
      <c r="M12" s="9"/>
      <c r="N12" s="61">
        <v>0</v>
      </c>
      <c r="O12" s="41"/>
      <c r="P12" s="9"/>
      <c r="Q12" s="61">
        <v>0</v>
      </c>
    </row>
    <row r="13" spans="1:17" x14ac:dyDescent="0.3">
      <c r="C13" t="s">
        <v>53</v>
      </c>
      <c r="F13" s="41"/>
      <c r="G13" s="9"/>
      <c r="H13" s="63"/>
      <c r="I13" s="41"/>
      <c r="J13" s="9"/>
      <c r="K13" s="63"/>
      <c r="L13" s="41"/>
      <c r="M13" s="9"/>
      <c r="N13" s="63"/>
      <c r="O13" s="41"/>
      <c r="P13" s="9"/>
      <c r="Q13" s="63"/>
    </row>
    <row r="14" spans="1:17" x14ac:dyDescent="0.3">
      <c r="D14" t="s">
        <v>61</v>
      </c>
      <c r="E14" t="s">
        <v>62</v>
      </c>
      <c r="F14" s="77">
        <v>32</v>
      </c>
      <c r="G14" s="64">
        <v>150</v>
      </c>
      <c r="H14" s="64">
        <v>4800</v>
      </c>
      <c r="I14" s="78">
        <v>32</v>
      </c>
      <c r="J14" s="65">
        <v>150</v>
      </c>
      <c r="K14" s="65">
        <v>4800</v>
      </c>
      <c r="L14" s="78">
        <v>32</v>
      </c>
      <c r="M14" s="65">
        <v>150</v>
      </c>
      <c r="N14" s="65">
        <v>4800</v>
      </c>
      <c r="O14" s="77">
        <v>36</v>
      </c>
      <c r="P14" s="64">
        <v>150</v>
      </c>
      <c r="Q14" s="64">
        <v>5400</v>
      </c>
    </row>
    <row r="15" spans="1:17" x14ac:dyDescent="0.3">
      <c r="D15" s="14" t="s">
        <v>166</v>
      </c>
      <c r="E15" t="s">
        <v>165</v>
      </c>
      <c r="G15" s="9"/>
      <c r="H15" s="61"/>
      <c r="J15" s="9"/>
      <c r="K15" s="61"/>
      <c r="M15" s="9"/>
      <c r="N15" s="61"/>
      <c r="P15" s="9"/>
      <c r="Q15" s="61"/>
    </row>
    <row r="16" spans="1:17" x14ac:dyDescent="0.3">
      <c r="D16" t="s">
        <v>64</v>
      </c>
      <c r="E16" t="s">
        <v>60</v>
      </c>
      <c r="F16" s="79">
        <v>32</v>
      </c>
      <c r="G16" s="64">
        <v>50</v>
      </c>
      <c r="H16" s="67">
        <v>1600</v>
      </c>
      <c r="I16" s="80">
        <v>32</v>
      </c>
      <c r="J16" s="65">
        <v>50</v>
      </c>
      <c r="K16" s="80">
        <v>1600</v>
      </c>
      <c r="L16" s="80">
        <v>32</v>
      </c>
      <c r="M16" s="65">
        <v>50</v>
      </c>
      <c r="N16" s="80">
        <v>1600</v>
      </c>
      <c r="O16" s="79">
        <v>36</v>
      </c>
      <c r="P16" s="64">
        <v>50</v>
      </c>
      <c r="Q16" s="77">
        <v>1800</v>
      </c>
    </row>
    <row r="17" spans="3:17" x14ac:dyDescent="0.3">
      <c r="D17" t="s">
        <v>54</v>
      </c>
      <c r="E17" t="s">
        <v>58</v>
      </c>
      <c r="F17" s="79">
        <v>24</v>
      </c>
      <c r="G17" s="64">
        <v>58.866228829999997</v>
      </c>
      <c r="H17" s="67">
        <v>1412.7894919199998</v>
      </c>
      <c r="I17" s="80">
        <v>24</v>
      </c>
      <c r="J17" s="65">
        <v>58.866228829999997</v>
      </c>
      <c r="K17" s="80">
        <v>1412.7894919199998</v>
      </c>
      <c r="L17" s="80">
        <v>24</v>
      </c>
      <c r="M17" s="65">
        <v>58.866228829999997</v>
      </c>
      <c r="N17" s="80">
        <v>1412.7894919199998</v>
      </c>
      <c r="O17" s="79">
        <v>27</v>
      </c>
      <c r="P17" s="64">
        <v>58.866228829999997</v>
      </c>
      <c r="Q17" s="77">
        <v>1589.3881784099999</v>
      </c>
    </row>
    <row r="18" spans="3:17" x14ac:dyDescent="0.3">
      <c r="C18" t="s">
        <v>52</v>
      </c>
      <c r="E18" t="s">
        <v>165</v>
      </c>
      <c r="F18" t="s">
        <v>165</v>
      </c>
      <c r="G18" s="9" t="s">
        <v>165</v>
      </c>
      <c r="H18" s="61"/>
      <c r="I18" t="s">
        <v>165</v>
      </c>
      <c r="J18" s="9" t="s">
        <v>165</v>
      </c>
      <c r="K18" s="61"/>
      <c r="L18" t="s">
        <v>165</v>
      </c>
      <c r="M18" s="9" t="s">
        <v>165</v>
      </c>
      <c r="N18" s="61"/>
      <c r="O18" t="s">
        <v>165</v>
      </c>
      <c r="P18" s="9" t="s">
        <v>165</v>
      </c>
      <c r="Q18" s="61"/>
    </row>
    <row r="19" spans="3:17" x14ac:dyDescent="0.3">
      <c r="D19" t="s">
        <v>66</v>
      </c>
      <c r="E19" t="s">
        <v>165</v>
      </c>
      <c r="F19" t="s">
        <v>165</v>
      </c>
      <c r="G19" s="9" t="s">
        <v>165</v>
      </c>
      <c r="H19" s="61" t="s">
        <v>165</v>
      </c>
      <c r="I19">
        <v>8</v>
      </c>
      <c r="J19" s="9">
        <v>2700</v>
      </c>
      <c r="K19" s="61">
        <v>21600</v>
      </c>
      <c r="L19">
        <v>8</v>
      </c>
      <c r="M19" s="9">
        <v>3500</v>
      </c>
      <c r="N19" s="61">
        <v>28000</v>
      </c>
      <c r="O19">
        <v>8</v>
      </c>
      <c r="P19" s="9">
        <v>3800</v>
      </c>
      <c r="Q19" s="61">
        <v>30400</v>
      </c>
    </row>
    <row r="20" spans="3:17" x14ac:dyDescent="0.3">
      <c r="D20" s="14" t="s">
        <v>75</v>
      </c>
      <c r="E20" t="s">
        <v>165</v>
      </c>
      <c r="F20" t="s">
        <v>165</v>
      </c>
      <c r="G20" s="9" t="s">
        <v>165</v>
      </c>
      <c r="H20" s="61" t="s">
        <v>165</v>
      </c>
      <c r="I20" t="s">
        <v>165</v>
      </c>
      <c r="J20" s="9" t="s">
        <v>165</v>
      </c>
      <c r="K20" s="61" t="s">
        <v>165</v>
      </c>
      <c r="L20" t="s">
        <v>165</v>
      </c>
      <c r="M20" s="9" t="s">
        <v>165</v>
      </c>
      <c r="N20" s="61" t="s">
        <v>165</v>
      </c>
      <c r="O20" t="s">
        <v>165</v>
      </c>
      <c r="P20" s="9" t="s">
        <v>165</v>
      </c>
      <c r="Q20" s="61" t="s">
        <v>165</v>
      </c>
    </row>
    <row r="21" spans="3:17" x14ac:dyDescent="0.3">
      <c r="D21" t="s">
        <v>68</v>
      </c>
      <c r="E21" t="s">
        <v>165</v>
      </c>
      <c r="F21" t="s">
        <v>165</v>
      </c>
      <c r="G21" s="9" t="s">
        <v>165</v>
      </c>
      <c r="H21" s="61" t="s">
        <v>165</v>
      </c>
      <c r="I21">
        <v>8</v>
      </c>
      <c r="J21" s="9">
        <v>100</v>
      </c>
      <c r="K21" s="61">
        <v>800</v>
      </c>
      <c r="L21">
        <v>8</v>
      </c>
      <c r="M21" s="9">
        <v>100</v>
      </c>
      <c r="N21" s="61">
        <v>800</v>
      </c>
      <c r="O21">
        <v>8</v>
      </c>
      <c r="P21" s="9">
        <v>100</v>
      </c>
      <c r="Q21" s="61">
        <v>800</v>
      </c>
    </row>
    <row r="22" spans="3:17" x14ac:dyDescent="0.3">
      <c r="D22" t="s">
        <v>114</v>
      </c>
      <c r="E22" t="s">
        <v>165</v>
      </c>
      <c r="F22" t="s">
        <v>165</v>
      </c>
      <c r="G22" s="9" t="s">
        <v>165</v>
      </c>
      <c r="H22" s="61" t="s">
        <v>165</v>
      </c>
      <c r="I22">
        <v>800</v>
      </c>
      <c r="J22" s="9">
        <v>4</v>
      </c>
      <c r="K22" s="61">
        <v>3200</v>
      </c>
      <c r="L22">
        <v>800</v>
      </c>
      <c r="M22" s="9">
        <v>4</v>
      </c>
      <c r="N22" s="61">
        <v>3200</v>
      </c>
      <c r="O22">
        <v>800</v>
      </c>
      <c r="P22" s="9">
        <v>4</v>
      </c>
      <c r="Q22" s="61">
        <v>3200</v>
      </c>
    </row>
    <row r="23" spans="3:17" x14ac:dyDescent="0.3">
      <c r="D23" t="s">
        <v>64</v>
      </c>
      <c r="E23" t="s">
        <v>165</v>
      </c>
      <c r="F23" t="s">
        <v>165</v>
      </c>
      <c r="G23" s="9" t="s">
        <v>165</v>
      </c>
      <c r="H23" s="61" t="s">
        <v>165</v>
      </c>
      <c r="I23">
        <v>8</v>
      </c>
      <c r="J23" s="9">
        <v>400</v>
      </c>
      <c r="K23" s="61">
        <v>3200</v>
      </c>
      <c r="L23">
        <v>8</v>
      </c>
      <c r="M23" s="9">
        <v>400</v>
      </c>
      <c r="N23" s="61">
        <v>3200</v>
      </c>
      <c r="O23">
        <v>8</v>
      </c>
      <c r="P23" s="9">
        <v>400</v>
      </c>
      <c r="Q23" s="61">
        <v>3200</v>
      </c>
    </row>
    <row r="24" spans="3:17" x14ac:dyDescent="0.3">
      <c r="D24" t="s">
        <v>54</v>
      </c>
      <c r="E24" t="s">
        <v>165</v>
      </c>
      <c r="G24" s="10"/>
      <c r="H24" s="61" t="s">
        <v>165</v>
      </c>
      <c r="I24">
        <v>96</v>
      </c>
      <c r="J24" s="9">
        <v>58.866228829999997</v>
      </c>
      <c r="K24" s="61">
        <v>5651.1579676799993</v>
      </c>
      <c r="L24">
        <v>96</v>
      </c>
      <c r="M24" s="9">
        <v>58.866228829999997</v>
      </c>
      <c r="N24" s="61">
        <v>5651.1579676799993</v>
      </c>
      <c r="O24">
        <v>96</v>
      </c>
      <c r="P24" s="9">
        <v>58.866228829999997</v>
      </c>
      <c r="Q24" s="61">
        <v>5651.1579676799993</v>
      </c>
    </row>
    <row r="25" spans="3:17" x14ac:dyDescent="0.3">
      <c r="C25" t="s">
        <v>106</v>
      </c>
      <c r="E25" t="s">
        <v>165</v>
      </c>
      <c r="G25" s="9"/>
      <c r="H25" s="66"/>
      <c r="I25" t="s">
        <v>165</v>
      </c>
      <c r="J25" s="9" t="s">
        <v>165</v>
      </c>
      <c r="K25" s="61" t="s">
        <v>165</v>
      </c>
      <c r="L25" t="s">
        <v>165</v>
      </c>
      <c r="M25" s="9" t="s">
        <v>165</v>
      </c>
      <c r="N25" s="61" t="s">
        <v>165</v>
      </c>
      <c r="O25" t="s">
        <v>165</v>
      </c>
      <c r="P25" s="9" t="s">
        <v>165</v>
      </c>
      <c r="Q25" s="61" t="s">
        <v>165</v>
      </c>
    </row>
    <row r="26" spans="3:17" x14ac:dyDescent="0.3">
      <c r="D26" t="s">
        <v>111</v>
      </c>
      <c r="E26" t="s">
        <v>62</v>
      </c>
      <c r="G26" s="9"/>
      <c r="H26" s="66" t="s">
        <v>167</v>
      </c>
      <c r="I26">
        <v>8</v>
      </c>
      <c r="J26" s="9">
        <v>400</v>
      </c>
      <c r="K26" s="61">
        <v>3200</v>
      </c>
      <c r="L26">
        <v>8</v>
      </c>
      <c r="M26" s="9">
        <v>400</v>
      </c>
      <c r="N26" s="61">
        <v>3200</v>
      </c>
      <c r="O26">
        <v>8</v>
      </c>
      <c r="P26" s="9">
        <v>400</v>
      </c>
      <c r="Q26" s="61">
        <v>3200</v>
      </c>
    </row>
    <row r="27" spans="3:17" x14ac:dyDescent="0.3">
      <c r="C27" t="s">
        <v>128</v>
      </c>
      <c r="E27" t="s">
        <v>165</v>
      </c>
      <c r="F27" t="s">
        <v>165</v>
      </c>
      <c r="G27" s="9" t="s">
        <v>165</v>
      </c>
      <c r="H27" s="61" t="s">
        <v>165</v>
      </c>
      <c r="I27" t="s">
        <v>165</v>
      </c>
      <c r="J27" s="9" t="s">
        <v>165</v>
      </c>
      <c r="K27" s="61" t="s">
        <v>165</v>
      </c>
      <c r="L27" t="s">
        <v>165</v>
      </c>
      <c r="M27" s="9" t="s">
        <v>165</v>
      </c>
      <c r="N27" s="61" t="s">
        <v>165</v>
      </c>
      <c r="O27" t="s">
        <v>165</v>
      </c>
      <c r="P27" s="9" t="s">
        <v>165</v>
      </c>
      <c r="Q27" s="61" t="s">
        <v>165</v>
      </c>
    </row>
    <row r="28" spans="3:17" x14ac:dyDescent="0.3">
      <c r="D28" t="s">
        <v>129</v>
      </c>
      <c r="E28" t="s">
        <v>62</v>
      </c>
      <c r="F28" s="79">
        <v>40</v>
      </c>
      <c r="G28" s="64">
        <v>75</v>
      </c>
      <c r="H28" s="67">
        <v>3000</v>
      </c>
      <c r="I28" s="80">
        <v>40</v>
      </c>
      <c r="J28" s="65">
        <v>75</v>
      </c>
      <c r="K28" s="68">
        <v>3000</v>
      </c>
      <c r="L28" s="80">
        <v>40</v>
      </c>
      <c r="M28" s="65">
        <v>75</v>
      </c>
      <c r="N28" s="68">
        <v>3000</v>
      </c>
      <c r="O28" s="79">
        <v>44</v>
      </c>
      <c r="P28" s="64">
        <v>75</v>
      </c>
      <c r="Q28" s="77">
        <v>3300</v>
      </c>
    </row>
    <row r="29" spans="3:17" x14ac:dyDescent="0.3">
      <c r="D29" t="s">
        <v>130</v>
      </c>
      <c r="E29" t="s">
        <v>165</v>
      </c>
      <c r="G29" s="9"/>
      <c r="H29" s="69" t="s">
        <v>112</v>
      </c>
      <c r="J29" s="9"/>
      <c r="K29" s="69" t="s">
        <v>112</v>
      </c>
      <c r="M29" s="9"/>
      <c r="N29" s="69" t="s">
        <v>112</v>
      </c>
      <c r="P29" s="9"/>
      <c r="Q29" s="69" t="s">
        <v>112</v>
      </c>
    </row>
    <row r="30" spans="3:17" x14ac:dyDescent="0.3">
      <c r="D30" t="s">
        <v>131</v>
      </c>
      <c r="E30" t="s">
        <v>67</v>
      </c>
      <c r="G30" s="9"/>
      <c r="H30" s="69" t="s">
        <v>112</v>
      </c>
      <c r="J30" s="9"/>
      <c r="K30" s="69" t="s">
        <v>112</v>
      </c>
      <c r="M30" s="9"/>
      <c r="N30" s="69" t="s">
        <v>112</v>
      </c>
      <c r="P30" s="9"/>
      <c r="Q30" s="69" t="s">
        <v>112</v>
      </c>
    </row>
    <row r="31" spans="3:17" x14ac:dyDescent="0.3">
      <c r="D31" t="s">
        <v>54</v>
      </c>
      <c r="E31" t="s">
        <v>58</v>
      </c>
      <c r="F31" s="79">
        <v>40</v>
      </c>
      <c r="G31" s="64">
        <v>58.866228829999997</v>
      </c>
      <c r="H31" s="67">
        <v>2354.6491532</v>
      </c>
      <c r="I31" s="80">
        <v>40</v>
      </c>
      <c r="J31" s="65">
        <v>58.866228829999997</v>
      </c>
      <c r="K31" s="68">
        <v>2354.6491532</v>
      </c>
      <c r="L31" s="80">
        <v>40</v>
      </c>
      <c r="M31" s="65">
        <v>58.866228829999997</v>
      </c>
      <c r="N31" s="68">
        <v>2354.6491532</v>
      </c>
      <c r="O31" s="79">
        <v>44</v>
      </c>
      <c r="P31" s="64">
        <v>58.866228829999997</v>
      </c>
      <c r="Q31" s="77">
        <v>2590.1140685199998</v>
      </c>
    </row>
    <row r="32" spans="3:17" x14ac:dyDescent="0.3">
      <c r="C32" t="s">
        <v>118</v>
      </c>
      <c r="E32" t="s">
        <v>165</v>
      </c>
      <c r="F32" t="s">
        <v>165</v>
      </c>
      <c r="G32" s="9" t="s">
        <v>165</v>
      </c>
      <c r="H32" s="61" t="s">
        <v>165</v>
      </c>
      <c r="I32" t="s">
        <v>165</v>
      </c>
      <c r="J32" s="9" t="s">
        <v>165</v>
      </c>
      <c r="K32" s="61" t="s">
        <v>165</v>
      </c>
      <c r="L32" t="s">
        <v>165</v>
      </c>
      <c r="M32" s="9" t="s">
        <v>165</v>
      </c>
      <c r="N32" s="61" t="s">
        <v>165</v>
      </c>
      <c r="O32" t="s">
        <v>165</v>
      </c>
      <c r="P32" s="9" t="s">
        <v>165</v>
      </c>
      <c r="Q32" s="61" t="s">
        <v>165</v>
      </c>
    </row>
    <row r="33" spans="2:17" x14ac:dyDescent="0.3">
      <c r="D33" t="s">
        <v>121</v>
      </c>
      <c r="E33" t="s">
        <v>165</v>
      </c>
      <c r="G33" s="9"/>
      <c r="H33" s="69"/>
      <c r="J33" s="9"/>
      <c r="K33" s="69" t="s">
        <v>132</v>
      </c>
      <c r="M33" s="9"/>
      <c r="N33" s="69" t="s">
        <v>132</v>
      </c>
      <c r="P33" s="9"/>
      <c r="Q33" s="69" t="s">
        <v>132</v>
      </c>
    </row>
    <row r="34" spans="2:17" x14ac:dyDescent="0.3">
      <c r="D34" t="s">
        <v>54</v>
      </c>
      <c r="E34" t="s">
        <v>165</v>
      </c>
      <c r="G34" s="9"/>
      <c r="H34" s="69"/>
      <c r="J34" s="9"/>
      <c r="K34" s="69" t="s">
        <v>132</v>
      </c>
      <c r="M34" s="9"/>
      <c r="N34" s="69" t="s">
        <v>132</v>
      </c>
      <c r="P34" s="9"/>
      <c r="Q34" s="69" t="s">
        <v>132</v>
      </c>
    </row>
    <row r="35" spans="2:17" x14ac:dyDescent="0.3">
      <c r="E35" s="60" t="s">
        <v>165</v>
      </c>
      <c r="F35" s="11" t="s">
        <v>165</v>
      </c>
      <c r="G35" s="12" t="s">
        <v>165</v>
      </c>
      <c r="H35" s="70">
        <v>13167.438645120001</v>
      </c>
      <c r="I35" s="11" t="s">
        <v>165</v>
      </c>
      <c r="J35" s="12" t="s">
        <v>165</v>
      </c>
      <c r="K35" s="70">
        <v>50818.596612800007</v>
      </c>
      <c r="L35" s="11" t="s">
        <v>165</v>
      </c>
      <c r="M35" s="12" t="s">
        <v>165</v>
      </c>
      <c r="N35" s="70">
        <v>57218.596612799993</v>
      </c>
      <c r="O35" s="11" t="s">
        <v>165</v>
      </c>
      <c r="P35" s="12" t="s">
        <v>165</v>
      </c>
      <c r="Q35" s="70">
        <v>61130.660214609998</v>
      </c>
    </row>
    <row r="36" spans="2:17" x14ac:dyDescent="0.3">
      <c r="E36" s="62" t="s">
        <v>165</v>
      </c>
      <c r="F36" t="s">
        <v>165</v>
      </c>
      <c r="G36" s="9" t="s">
        <v>165</v>
      </c>
      <c r="H36" s="61" t="s">
        <v>165</v>
      </c>
      <c r="I36" t="s">
        <v>165</v>
      </c>
      <c r="J36" s="9" t="s">
        <v>165</v>
      </c>
      <c r="K36" s="61" t="s">
        <v>165</v>
      </c>
      <c r="L36" t="s">
        <v>165</v>
      </c>
      <c r="M36" s="9" t="s">
        <v>165</v>
      </c>
      <c r="N36" s="61" t="s">
        <v>165</v>
      </c>
      <c r="O36" t="s">
        <v>165</v>
      </c>
      <c r="P36" s="9" t="s">
        <v>165</v>
      </c>
      <c r="Q36" s="61" t="s">
        <v>165</v>
      </c>
    </row>
    <row r="37" spans="2:17" x14ac:dyDescent="0.3">
      <c r="B37" s="11"/>
      <c r="C37" s="11" t="s">
        <v>71</v>
      </c>
      <c r="D37" s="11"/>
      <c r="E37" s="60" t="s">
        <v>165</v>
      </c>
      <c r="F37" s="11" t="s">
        <v>165</v>
      </c>
      <c r="G37" s="12" t="s">
        <v>165</v>
      </c>
      <c r="H37" s="70">
        <v>13167.438645120001</v>
      </c>
      <c r="I37" s="11" t="s">
        <v>165</v>
      </c>
      <c r="J37" s="12" t="s">
        <v>165</v>
      </c>
      <c r="K37" s="70">
        <v>50818.596612800007</v>
      </c>
      <c r="L37" s="11" t="s">
        <v>165</v>
      </c>
      <c r="M37" s="12" t="s">
        <v>165</v>
      </c>
      <c r="N37" s="70">
        <v>57218.596612799993</v>
      </c>
      <c r="O37" s="11" t="s">
        <v>165</v>
      </c>
      <c r="P37" s="12" t="s">
        <v>165</v>
      </c>
      <c r="Q37" s="70">
        <v>61130.660214609998</v>
      </c>
    </row>
    <row r="38" spans="2:17" x14ac:dyDescent="0.3">
      <c r="E38" s="62" t="s">
        <v>165</v>
      </c>
      <c r="F38" t="s">
        <v>165</v>
      </c>
      <c r="G38" s="9" t="s">
        <v>165</v>
      </c>
      <c r="H38" s="61" t="s">
        <v>165</v>
      </c>
      <c r="I38" t="s">
        <v>165</v>
      </c>
      <c r="J38" s="9" t="s">
        <v>165</v>
      </c>
      <c r="K38" s="61" t="s">
        <v>165</v>
      </c>
      <c r="L38" t="s">
        <v>165</v>
      </c>
      <c r="M38" s="9" t="s">
        <v>165</v>
      </c>
      <c r="N38" s="61" t="s">
        <v>165</v>
      </c>
      <c r="O38" t="s">
        <v>165</v>
      </c>
      <c r="P38" s="9" t="s">
        <v>165</v>
      </c>
      <c r="Q38" s="61" t="s">
        <v>165</v>
      </c>
    </row>
    <row r="39" spans="2:17" x14ac:dyDescent="0.3">
      <c r="B39" t="s">
        <v>104</v>
      </c>
      <c r="E39" s="71" t="s">
        <v>165</v>
      </c>
      <c r="F39" s="72">
        <v>0.09</v>
      </c>
      <c r="G39" s="9" t="s">
        <v>165</v>
      </c>
      <c r="H39" s="61">
        <v>1185</v>
      </c>
      <c r="I39" s="72">
        <v>0.09</v>
      </c>
      <c r="J39" s="9" t="s">
        <v>165</v>
      </c>
      <c r="K39" s="61">
        <v>4574</v>
      </c>
      <c r="L39" s="72">
        <v>0.09</v>
      </c>
      <c r="M39" s="9" t="s">
        <v>165</v>
      </c>
      <c r="N39" s="61">
        <v>5150</v>
      </c>
      <c r="O39" s="72">
        <v>0.09</v>
      </c>
      <c r="P39" s="9" t="s">
        <v>165</v>
      </c>
      <c r="Q39" s="61">
        <v>5502</v>
      </c>
    </row>
    <row r="40" spans="2:17" x14ac:dyDescent="0.3">
      <c r="E40" s="71" t="s">
        <v>165</v>
      </c>
      <c r="F40" s="47" t="s">
        <v>165</v>
      </c>
      <c r="G40" s="9" t="s">
        <v>165</v>
      </c>
      <c r="H40" s="61" t="s">
        <v>165</v>
      </c>
      <c r="I40" s="47" t="s">
        <v>165</v>
      </c>
      <c r="J40" s="9" t="s">
        <v>165</v>
      </c>
      <c r="K40" s="61" t="s">
        <v>165</v>
      </c>
      <c r="L40" s="47" t="s">
        <v>165</v>
      </c>
      <c r="M40" s="9" t="s">
        <v>165</v>
      </c>
      <c r="N40" s="61" t="s">
        <v>165</v>
      </c>
      <c r="O40" s="47" t="s">
        <v>165</v>
      </c>
      <c r="P40" s="9" t="s">
        <v>165</v>
      </c>
      <c r="Q40" s="61" t="s">
        <v>165</v>
      </c>
    </row>
    <row r="41" spans="2:17" x14ac:dyDescent="0.3">
      <c r="B41" t="s">
        <v>103</v>
      </c>
      <c r="E41" s="71" t="s">
        <v>165</v>
      </c>
      <c r="F41" s="72">
        <v>0.04</v>
      </c>
      <c r="G41" s="9" t="s">
        <v>165</v>
      </c>
      <c r="H41" s="61">
        <v>574</v>
      </c>
      <c r="I41" s="72">
        <v>0.04</v>
      </c>
      <c r="J41" s="9" t="s">
        <v>165</v>
      </c>
      <c r="K41" s="61">
        <v>2216</v>
      </c>
      <c r="L41" s="72">
        <v>0.04</v>
      </c>
      <c r="M41" s="9" t="s">
        <v>165</v>
      </c>
      <c r="N41" s="61">
        <v>2495</v>
      </c>
      <c r="O41" s="72">
        <v>0.04</v>
      </c>
      <c r="P41" s="9" t="s">
        <v>165</v>
      </c>
      <c r="Q41" s="61">
        <v>2665</v>
      </c>
    </row>
    <row r="42" spans="2:17" x14ac:dyDescent="0.3">
      <c r="E42" s="71" t="s">
        <v>165</v>
      </c>
      <c r="F42" s="47" t="s">
        <v>165</v>
      </c>
      <c r="G42" s="9" t="s">
        <v>165</v>
      </c>
      <c r="H42" s="61" t="s">
        <v>165</v>
      </c>
      <c r="I42" s="47" t="s">
        <v>165</v>
      </c>
      <c r="J42" s="9" t="s">
        <v>165</v>
      </c>
      <c r="K42" s="61" t="s">
        <v>165</v>
      </c>
      <c r="L42" s="47" t="s">
        <v>165</v>
      </c>
      <c r="M42" s="9" t="s">
        <v>165</v>
      </c>
      <c r="N42" s="61" t="s">
        <v>165</v>
      </c>
      <c r="O42" s="47" t="s">
        <v>165</v>
      </c>
      <c r="P42" s="9" t="s">
        <v>165</v>
      </c>
      <c r="Q42" s="61" t="s">
        <v>165</v>
      </c>
    </row>
    <row r="43" spans="2:17" x14ac:dyDescent="0.3">
      <c r="B43" t="s">
        <v>127</v>
      </c>
      <c r="E43" s="71" t="s">
        <v>165</v>
      </c>
      <c r="F43" s="72">
        <v>1.2500000000000001E-2</v>
      </c>
      <c r="G43" s="9" t="s">
        <v>165</v>
      </c>
      <c r="H43" s="61">
        <v>187</v>
      </c>
      <c r="I43" s="72">
        <v>1.2500000000000001E-2</v>
      </c>
      <c r="J43" s="9" t="s">
        <v>165</v>
      </c>
      <c r="K43" s="61">
        <v>720</v>
      </c>
      <c r="L43" s="72">
        <v>1.2500000000000001E-2</v>
      </c>
      <c r="M43" s="9" t="s">
        <v>165</v>
      </c>
      <c r="N43" s="61">
        <v>811</v>
      </c>
      <c r="O43" s="72">
        <v>1.2500000000000001E-2</v>
      </c>
      <c r="P43" s="9" t="s">
        <v>165</v>
      </c>
      <c r="Q43" s="61">
        <v>866</v>
      </c>
    </row>
    <row r="44" spans="2:17" x14ac:dyDescent="0.3">
      <c r="E44" s="71" t="s">
        <v>165</v>
      </c>
      <c r="F44" s="47" t="s">
        <v>165</v>
      </c>
      <c r="G44" s="9" t="s">
        <v>165</v>
      </c>
      <c r="H44" s="61" t="s">
        <v>165</v>
      </c>
      <c r="I44" s="47" t="s">
        <v>165</v>
      </c>
      <c r="J44" s="9" t="s">
        <v>165</v>
      </c>
      <c r="K44" s="61" t="s">
        <v>165</v>
      </c>
      <c r="L44" s="47" t="s">
        <v>165</v>
      </c>
      <c r="M44" s="9" t="s">
        <v>165</v>
      </c>
      <c r="N44" s="61" t="s">
        <v>165</v>
      </c>
      <c r="O44" s="47" t="s">
        <v>165</v>
      </c>
      <c r="P44" s="9" t="s">
        <v>165</v>
      </c>
      <c r="Q44" s="61" t="s">
        <v>165</v>
      </c>
    </row>
    <row r="45" spans="2:17" x14ac:dyDescent="0.3">
      <c r="B45" t="s">
        <v>105</v>
      </c>
      <c r="E45" s="71" t="s">
        <v>165</v>
      </c>
      <c r="F45" s="47" t="s">
        <v>165</v>
      </c>
      <c r="G45" s="9" t="s">
        <v>165</v>
      </c>
      <c r="H45" s="61" t="s">
        <v>165</v>
      </c>
      <c r="I45" s="47" t="s">
        <v>165</v>
      </c>
      <c r="J45" s="9" t="s">
        <v>165</v>
      </c>
      <c r="K45" s="61" t="s">
        <v>165</v>
      </c>
      <c r="L45" s="47" t="s">
        <v>165</v>
      </c>
      <c r="M45" s="9" t="s">
        <v>165</v>
      </c>
      <c r="N45" s="61" t="s">
        <v>165</v>
      </c>
      <c r="O45" s="47" t="s">
        <v>165</v>
      </c>
      <c r="P45" s="9" t="s">
        <v>165</v>
      </c>
      <c r="Q45" s="61" t="s">
        <v>165</v>
      </c>
    </row>
    <row r="46" spans="2:17" x14ac:dyDescent="0.3">
      <c r="E46" s="73" t="s">
        <v>165</v>
      </c>
      <c r="F46" s="19" t="s">
        <v>165</v>
      </c>
      <c r="G46" s="9" t="s">
        <v>165</v>
      </c>
      <c r="H46" s="61" t="s">
        <v>165</v>
      </c>
      <c r="I46" s="19" t="s">
        <v>165</v>
      </c>
      <c r="J46" s="9" t="s">
        <v>165</v>
      </c>
      <c r="K46" s="61" t="s">
        <v>165</v>
      </c>
      <c r="L46" s="19" t="s">
        <v>165</v>
      </c>
      <c r="M46" s="9" t="s">
        <v>165</v>
      </c>
      <c r="N46" s="61" t="s">
        <v>165</v>
      </c>
      <c r="O46" s="19" t="s">
        <v>165</v>
      </c>
      <c r="P46" s="9" t="s">
        <v>165</v>
      </c>
      <c r="Q46" s="61" t="s">
        <v>165</v>
      </c>
    </row>
    <row r="47" spans="2:17" x14ac:dyDescent="0.3">
      <c r="E47" s="62" t="s">
        <v>165</v>
      </c>
      <c r="F47" t="s">
        <v>165</v>
      </c>
      <c r="G47" t="s">
        <v>165</v>
      </c>
      <c r="H47" s="62" t="s">
        <v>165</v>
      </c>
      <c r="I47" t="s">
        <v>165</v>
      </c>
      <c r="J47" t="s">
        <v>165</v>
      </c>
      <c r="K47" s="62" t="s">
        <v>165</v>
      </c>
      <c r="L47" t="s">
        <v>165</v>
      </c>
      <c r="M47" t="s">
        <v>165</v>
      </c>
      <c r="N47" s="62" t="s">
        <v>165</v>
      </c>
      <c r="O47" t="s">
        <v>165</v>
      </c>
      <c r="P47" t="s">
        <v>165</v>
      </c>
      <c r="Q47" s="62" t="s">
        <v>165</v>
      </c>
    </row>
    <row r="48" spans="2:17" ht="15" thickBot="1" x14ac:dyDescent="0.35">
      <c r="B48" s="33" t="s">
        <v>72</v>
      </c>
      <c r="C48" s="33"/>
      <c r="D48" s="33"/>
      <c r="E48" s="74" t="s">
        <v>165</v>
      </c>
      <c r="F48" s="33" t="s">
        <v>165</v>
      </c>
      <c r="G48" s="33" t="s">
        <v>165</v>
      </c>
      <c r="H48" s="75">
        <v>15113.438645120001</v>
      </c>
      <c r="I48" s="33" t="s">
        <v>165</v>
      </c>
      <c r="J48" s="33" t="s">
        <v>165</v>
      </c>
      <c r="K48" s="75">
        <v>58328.596612800007</v>
      </c>
      <c r="L48" s="33" t="s">
        <v>165</v>
      </c>
      <c r="M48" s="33" t="s">
        <v>165</v>
      </c>
      <c r="N48" s="75">
        <v>65674.5966128</v>
      </c>
      <c r="O48" s="33" t="s">
        <v>165</v>
      </c>
      <c r="P48" s="33" t="s">
        <v>165</v>
      </c>
      <c r="Q48" s="75">
        <v>70163.66021460999</v>
      </c>
    </row>
    <row r="49" spans="6:17" ht="15.6" thickTop="1" thickBot="1" x14ac:dyDescent="0.35">
      <c r="F49" s="33" t="s">
        <v>165</v>
      </c>
      <c r="G49" s="33" t="s">
        <v>165</v>
      </c>
      <c r="H49" s="75">
        <v>4909.3245766</v>
      </c>
      <c r="I49" s="33" t="s">
        <v>165</v>
      </c>
      <c r="J49" s="33" t="s">
        <v>165</v>
      </c>
      <c r="K49" s="75">
        <v>11500.184237880001</v>
      </c>
      <c r="L49" s="33" t="s">
        <v>165</v>
      </c>
      <c r="M49" s="33" t="s">
        <v>165</v>
      </c>
      <c r="N49" s="75">
        <v>11844.184237879999</v>
      </c>
      <c r="O49" s="33" t="s">
        <v>165</v>
      </c>
      <c r="P49" s="33" t="s">
        <v>165</v>
      </c>
      <c r="Q49" s="75">
        <v>12294.91669554</v>
      </c>
    </row>
    <row r="50" spans="6:17" ht="15" thickTop="1" x14ac:dyDescent="0.3"/>
  </sheetData>
  <mergeCells count="9">
    <mergeCell ref="F3:H3"/>
    <mergeCell ref="I3:K3"/>
    <mergeCell ref="L3:N3"/>
    <mergeCell ref="O3:Q3"/>
    <mergeCell ref="A4:C4"/>
    <mergeCell ref="F4:H7"/>
    <mergeCell ref="I4:K7"/>
    <mergeCell ref="L4:N7"/>
    <mergeCell ref="O4:Q7"/>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10"/>
  <dimension ref="A1:O49"/>
  <sheetViews>
    <sheetView showGridLines="0" topLeftCell="A7"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New Construction</v>
      </c>
    </row>
    <row r="2" spans="1:15" x14ac:dyDescent="0.3">
      <c r="A2" t="s">
        <v>0</v>
      </c>
    </row>
    <row r="3" spans="1:15" x14ac:dyDescent="0.3">
      <c r="A3" t="s">
        <v>70</v>
      </c>
    </row>
    <row r="4" spans="1:15" ht="14.4" customHeight="1" x14ac:dyDescent="0.3">
      <c r="A4" s="88">
        <v>9</v>
      </c>
      <c r="B4" s="88"/>
      <c r="C4" s="88"/>
    </row>
    <row r="6" spans="1:15" x14ac:dyDescent="0.3">
      <c r="B6" t="s">
        <v>50</v>
      </c>
      <c r="F6" s="41"/>
      <c r="G6" s="9"/>
      <c r="H6" s="8"/>
    </row>
    <row r="7" spans="1:15" x14ac:dyDescent="0.3">
      <c r="C7" t="s">
        <v>120</v>
      </c>
      <c r="F7" s="41"/>
      <c r="G7" s="9"/>
      <c r="H7" s="38" t="s">
        <v>116</v>
      </c>
    </row>
    <row r="8" spans="1:15" x14ac:dyDescent="0.3">
      <c r="D8" t="s">
        <v>54</v>
      </c>
      <c r="E8">
        <v>32</v>
      </c>
      <c r="F8" s="41"/>
      <c r="G8" s="9"/>
      <c r="H8" s="10"/>
    </row>
    <row r="9" spans="1:15" x14ac:dyDescent="0.3">
      <c r="D9" t="s">
        <v>59</v>
      </c>
      <c r="F9" s="41"/>
      <c r="G9" s="9"/>
      <c r="H9" s="10"/>
    </row>
    <row r="10" spans="1:15" x14ac:dyDescent="0.3">
      <c r="E10" s="11"/>
      <c r="F10" s="42"/>
      <c r="G10" s="12"/>
      <c r="H10" s="13">
        <f>SUBTOTAL(9,H6:H9)</f>
        <v>0</v>
      </c>
    </row>
    <row r="11" spans="1:15" x14ac:dyDescent="0.3">
      <c r="F11" s="41"/>
      <c r="G11" s="9"/>
      <c r="H11" s="10">
        <f t="shared" ref="H11:H38" si="0">E11*G11</f>
        <v>0</v>
      </c>
    </row>
    <row r="12" spans="1:15" x14ac:dyDescent="0.3">
      <c r="B12" t="s">
        <v>51</v>
      </c>
      <c r="F12" s="41"/>
      <c r="G12" s="9"/>
      <c r="H12" s="10">
        <f t="shared" si="0"/>
        <v>0</v>
      </c>
    </row>
    <row r="13" spans="1:15" x14ac:dyDescent="0.3">
      <c r="C13" t="s">
        <v>53</v>
      </c>
      <c r="F13" s="41"/>
      <c r="G13" s="9"/>
      <c r="H13" s="39" t="s">
        <v>117</v>
      </c>
    </row>
    <row r="14" spans="1:15" x14ac:dyDescent="0.3">
      <c r="D14" t="s">
        <v>61</v>
      </c>
      <c r="F14" s="41"/>
      <c r="G14" s="29"/>
      <c r="H14" s="10"/>
    </row>
    <row r="15" spans="1:15" x14ac:dyDescent="0.3">
      <c r="D15" s="14" t="s">
        <v>73</v>
      </c>
      <c r="F15" s="41"/>
      <c r="G15" s="29"/>
      <c r="H15" s="10"/>
    </row>
    <row r="16" spans="1:15" x14ac:dyDescent="0.3">
      <c r="D16" t="s">
        <v>64</v>
      </c>
      <c r="F16" s="41"/>
      <c r="G16" s="29"/>
      <c r="H16" s="10"/>
    </row>
    <row r="17" spans="3:8" x14ac:dyDescent="0.3">
      <c r="D17" t="s">
        <v>54</v>
      </c>
      <c r="F17" s="41"/>
      <c r="G17" s="9"/>
      <c r="H17" s="10"/>
    </row>
    <row r="18" spans="3:8" x14ac:dyDescent="0.3">
      <c r="C18" t="s">
        <v>52</v>
      </c>
      <c r="F18" s="41"/>
      <c r="G18" s="9"/>
      <c r="H18" s="10">
        <f t="shared" si="0"/>
        <v>0</v>
      </c>
    </row>
    <row r="19" spans="3:8" x14ac:dyDescent="0.3">
      <c r="D19" t="s">
        <v>66</v>
      </c>
      <c r="E19">
        <v>8</v>
      </c>
      <c r="F19" s="41" t="s">
        <v>62</v>
      </c>
      <c r="G19" s="29">
        <v>4800</v>
      </c>
      <c r="H19" s="10">
        <f t="shared" si="0"/>
        <v>38400</v>
      </c>
    </row>
    <row r="20" spans="3:8" ht="30" customHeight="1" x14ac:dyDescent="0.3">
      <c r="D20" s="24" t="s">
        <v>74</v>
      </c>
      <c r="F20" s="41"/>
      <c r="G20" s="9"/>
      <c r="H20" s="10">
        <f t="shared" si="0"/>
        <v>0</v>
      </c>
    </row>
    <row r="21" spans="3:8" x14ac:dyDescent="0.3">
      <c r="D21" s="15" t="s">
        <v>68</v>
      </c>
      <c r="E21">
        <v>8</v>
      </c>
      <c r="F21" s="41" t="s">
        <v>62</v>
      </c>
      <c r="G21" s="9">
        <v>100</v>
      </c>
      <c r="H21" s="10">
        <f t="shared" si="0"/>
        <v>800</v>
      </c>
    </row>
    <row r="22" spans="3:8" x14ac:dyDescent="0.3">
      <c r="D22" s="15" t="s">
        <v>114</v>
      </c>
      <c r="E22">
        <v>800</v>
      </c>
      <c r="F22" s="41" t="s">
        <v>67</v>
      </c>
      <c r="G22" s="9">
        <v>4</v>
      </c>
      <c r="H22" s="10">
        <f t="shared" si="0"/>
        <v>3200</v>
      </c>
    </row>
    <row r="23" spans="3:8" x14ac:dyDescent="0.3">
      <c r="D23" t="s">
        <v>64</v>
      </c>
      <c r="E23">
        <v>8</v>
      </c>
      <c r="F23" s="41" t="s">
        <v>60</v>
      </c>
      <c r="G23" s="9">
        <v>400</v>
      </c>
      <c r="H23" s="10">
        <f t="shared" si="0"/>
        <v>3200</v>
      </c>
    </row>
    <row r="24" spans="3:8" x14ac:dyDescent="0.3">
      <c r="D24" t="s">
        <v>54</v>
      </c>
      <c r="E24">
        <v>96</v>
      </c>
      <c r="F24" s="41" t="s">
        <v>58</v>
      </c>
      <c r="G24" s="9">
        <f>VLOOKUP($A$4,zone_lu,4)</f>
        <v>58.866228829999997</v>
      </c>
      <c r="H24" s="10">
        <f t="shared" si="0"/>
        <v>5651.1579676799993</v>
      </c>
    </row>
    <row r="25" spans="3:8" x14ac:dyDescent="0.3">
      <c r="C25" t="s">
        <v>106</v>
      </c>
      <c r="F25" s="41"/>
      <c r="G25" s="9"/>
      <c r="H25" s="10"/>
    </row>
    <row r="26" spans="3:8" x14ac:dyDescent="0.3">
      <c r="D26" t="s">
        <v>111</v>
      </c>
      <c r="E26">
        <v>8</v>
      </c>
      <c r="F26" s="41" t="s">
        <v>62</v>
      </c>
      <c r="G26" s="9">
        <v>400</v>
      </c>
      <c r="H26" s="10">
        <f t="shared" si="0"/>
        <v>3200</v>
      </c>
    </row>
    <row r="27" spans="3:8" x14ac:dyDescent="0.3">
      <c r="C27" t="s">
        <v>128</v>
      </c>
      <c r="F27" s="41"/>
      <c r="G27" s="9"/>
      <c r="H27" s="10"/>
    </row>
    <row r="28" spans="3:8" x14ac:dyDescent="0.3">
      <c r="D28" t="s">
        <v>129</v>
      </c>
      <c r="E28">
        <v>16</v>
      </c>
      <c r="F28" s="41" t="s">
        <v>62</v>
      </c>
      <c r="G28" s="9">
        <v>65</v>
      </c>
      <c r="H28" s="10">
        <f t="shared" si="0"/>
        <v>1040</v>
      </c>
    </row>
    <row r="29" spans="3:8" x14ac:dyDescent="0.3">
      <c r="D29" t="s">
        <v>130</v>
      </c>
      <c r="F29" s="41"/>
      <c r="G29" s="9"/>
      <c r="H29" s="38" t="s">
        <v>116</v>
      </c>
    </row>
    <row r="30" spans="3:8" x14ac:dyDescent="0.3">
      <c r="D30" t="s">
        <v>131</v>
      </c>
      <c r="F30" s="41"/>
      <c r="G30" s="9"/>
      <c r="H30" s="38" t="s">
        <v>116</v>
      </c>
    </row>
    <row r="31" spans="3:8" x14ac:dyDescent="0.3">
      <c r="D31" t="s">
        <v>54</v>
      </c>
      <c r="E31">
        <f>8*6</f>
        <v>48</v>
      </c>
      <c r="F31" s="41" t="s">
        <v>58</v>
      </c>
      <c r="G31" s="9">
        <f>VLOOKUP($A$4,zone_lu,4)</f>
        <v>58.866228829999997</v>
      </c>
      <c r="H31" s="10">
        <f t="shared" si="0"/>
        <v>2825.5789838399996</v>
      </c>
    </row>
    <row r="32" spans="3:8" x14ac:dyDescent="0.3">
      <c r="C32" t="s">
        <v>118</v>
      </c>
      <c r="F32" s="41"/>
      <c r="G32" s="9"/>
      <c r="H32" s="10">
        <f t="shared" si="0"/>
        <v>0</v>
      </c>
    </row>
    <row r="33" spans="2:9" x14ac:dyDescent="0.3">
      <c r="D33" t="s">
        <v>121</v>
      </c>
      <c r="F33" s="41"/>
      <c r="G33" s="9"/>
      <c r="H33" s="38" t="s">
        <v>132</v>
      </c>
    </row>
    <row r="34" spans="2:9" x14ac:dyDescent="0.3">
      <c r="D34" t="s">
        <v>54</v>
      </c>
      <c r="F34" s="41"/>
      <c r="G34" s="9"/>
      <c r="H34" s="38" t="s">
        <v>132</v>
      </c>
    </row>
    <row r="35" spans="2:9" x14ac:dyDescent="0.3">
      <c r="E35" s="11"/>
      <c r="F35" s="42"/>
      <c r="G35" s="12"/>
      <c r="H35" s="13">
        <f>SUBTOTAL(9,H12:H34)</f>
        <v>58316.736951520004</v>
      </c>
    </row>
    <row r="36" spans="2:9" x14ac:dyDescent="0.3">
      <c r="E36" s="16"/>
      <c r="F36" s="43"/>
      <c r="G36" s="17"/>
      <c r="H36" s="18"/>
    </row>
    <row r="37" spans="2:9" x14ac:dyDescent="0.3">
      <c r="B37" s="11"/>
      <c r="C37" s="11" t="s">
        <v>71</v>
      </c>
      <c r="D37" s="11"/>
      <c r="E37" s="11"/>
      <c r="F37" s="42"/>
      <c r="G37" s="12"/>
      <c r="H37" s="13">
        <f>SUBTOTAL(9,H6:H36)</f>
        <v>58316.736951520004</v>
      </c>
    </row>
    <row r="38" spans="2:9" x14ac:dyDescent="0.3">
      <c r="F38" s="41"/>
      <c r="G38" s="9"/>
      <c r="H38" s="10">
        <f t="shared" si="0"/>
        <v>0</v>
      </c>
    </row>
    <row r="39" spans="2:9" x14ac:dyDescent="0.3">
      <c r="B39" t="s">
        <v>104</v>
      </c>
      <c r="E39" s="49">
        <f>ROUND(VLOOKUP($A$4,zone_lu,5)*0.6,2)</f>
        <v>0.09</v>
      </c>
      <c r="F39" s="41"/>
      <c r="G39" s="9"/>
      <c r="H39" s="10">
        <f>ROUND(H37*E39,0)</f>
        <v>5249</v>
      </c>
      <c r="I39" s="10">
        <f>ROUND(I37*F39,0)</f>
        <v>0</v>
      </c>
    </row>
    <row r="40" spans="2:9" x14ac:dyDescent="0.3">
      <c r="E40" s="49"/>
      <c r="F40" s="41"/>
      <c r="G40" s="9"/>
      <c r="H40" s="10"/>
      <c r="I40" s="10"/>
    </row>
    <row r="41" spans="2:9" x14ac:dyDescent="0.3">
      <c r="B41" t="s">
        <v>103</v>
      </c>
      <c r="E41" s="49">
        <f>ROUND(VLOOKUP($A$4,zone_lu,6)*0.4,2)</f>
        <v>0.04</v>
      </c>
      <c r="F41" s="41"/>
      <c r="G41" s="9"/>
      <c r="H41" s="10">
        <f>ROUND(SUM(H37:H40)*E41,0)</f>
        <v>2543</v>
      </c>
      <c r="I41" s="10"/>
    </row>
    <row r="42" spans="2:9" x14ac:dyDescent="0.3">
      <c r="E42" s="49"/>
      <c r="F42" s="41"/>
      <c r="G42" s="9"/>
      <c r="H42" s="10"/>
      <c r="I42" s="10"/>
    </row>
    <row r="43" spans="2:9" x14ac:dyDescent="0.3">
      <c r="B43" t="s">
        <v>127</v>
      </c>
      <c r="E43" s="49">
        <f>VLOOKUP($A$4,zone_lu,7)</f>
        <v>1.2500000000000001E-2</v>
      </c>
      <c r="F43" s="41"/>
      <c r="G43" s="9"/>
      <c r="H43" s="10">
        <f>ROUND(SUM(H37:H42)*E43,0)</f>
        <v>826</v>
      </c>
      <c r="I43" s="10"/>
    </row>
    <row r="44" spans="2:9" x14ac:dyDescent="0.3">
      <c r="E44" s="49"/>
      <c r="F44" s="41"/>
      <c r="G44" s="9"/>
      <c r="H44" s="10"/>
      <c r="I44" s="10"/>
    </row>
    <row r="45" spans="2:9" x14ac:dyDescent="0.3">
      <c r="B45" t="s">
        <v>105</v>
      </c>
      <c r="E45" s="49"/>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66934.736951519997</v>
      </c>
    </row>
    <row r="49" ht="15" thickTop="1" x14ac:dyDescent="0.3"/>
  </sheetData>
  <mergeCells count="1">
    <mergeCell ref="A4:C4"/>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AE4195-185C-4037-88E7-87B7075A4E54}">
  <sheetPr codeName="Sheet42"/>
  <dimension ref="A1:O49"/>
  <sheetViews>
    <sheetView showGridLines="0" topLeftCell="A7"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New Construction</v>
      </c>
    </row>
    <row r="2" spans="1:15" x14ac:dyDescent="0.3">
      <c r="A2" t="s">
        <v>0</v>
      </c>
    </row>
    <row r="3" spans="1:15" x14ac:dyDescent="0.3">
      <c r="A3" t="s">
        <v>70</v>
      </c>
    </row>
    <row r="4" spans="1:15" ht="14.4" customHeight="1" x14ac:dyDescent="0.3">
      <c r="A4" s="88">
        <v>9</v>
      </c>
      <c r="B4" s="88"/>
      <c r="C4" s="88"/>
    </row>
    <row r="6" spans="1:15" x14ac:dyDescent="0.3">
      <c r="B6" t="s">
        <v>50</v>
      </c>
      <c r="F6" s="41"/>
      <c r="G6" s="9"/>
      <c r="H6" s="8"/>
    </row>
    <row r="7" spans="1:15" x14ac:dyDescent="0.3">
      <c r="C7" t="s">
        <v>120</v>
      </c>
      <c r="F7" s="41"/>
      <c r="G7" s="9"/>
      <c r="H7" s="38" t="s">
        <v>116</v>
      </c>
    </row>
    <row r="8" spans="1:15" x14ac:dyDescent="0.3">
      <c r="D8" t="s">
        <v>54</v>
      </c>
      <c r="E8">
        <v>32</v>
      </c>
      <c r="F8" s="41"/>
      <c r="G8" s="9"/>
      <c r="H8" s="10"/>
    </row>
    <row r="9" spans="1:15" x14ac:dyDescent="0.3">
      <c r="D9" t="s">
        <v>59</v>
      </c>
      <c r="F9" s="41"/>
      <c r="G9" s="9"/>
      <c r="H9" s="10"/>
    </row>
    <row r="10" spans="1:15" x14ac:dyDescent="0.3">
      <c r="E10" s="11"/>
      <c r="F10" s="42"/>
      <c r="G10" s="12"/>
      <c r="H10" s="13">
        <f>SUBTOTAL(9,H6:H9)</f>
        <v>0</v>
      </c>
    </row>
    <row r="11" spans="1:15" x14ac:dyDescent="0.3">
      <c r="F11" s="41"/>
      <c r="G11" s="9"/>
      <c r="H11" s="10">
        <f t="shared" ref="H11:H38" si="0">E11*G11</f>
        <v>0</v>
      </c>
    </row>
    <row r="12" spans="1:15" x14ac:dyDescent="0.3">
      <c r="B12" t="s">
        <v>51</v>
      </c>
      <c r="F12" s="41"/>
      <c r="G12" s="9"/>
      <c r="H12" s="10">
        <f t="shared" si="0"/>
        <v>0</v>
      </c>
    </row>
    <row r="13" spans="1:15" x14ac:dyDescent="0.3">
      <c r="C13" t="s">
        <v>53</v>
      </c>
      <c r="F13" s="41"/>
      <c r="G13" s="9"/>
      <c r="H13" s="39" t="s">
        <v>117</v>
      </c>
    </row>
    <row r="14" spans="1:15" x14ac:dyDescent="0.3">
      <c r="D14" t="s">
        <v>61</v>
      </c>
      <c r="F14" s="41"/>
      <c r="G14" s="29"/>
      <c r="H14" s="10"/>
    </row>
    <row r="15" spans="1:15" x14ac:dyDescent="0.3">
      <c r="D15" s="14" t="s">
        <v>73</v>
      </c>
      <c r="F15" s="41"/>
      <c r="G15" s="29"/>
      <c r="H15" s="10"/>
    </row>
    <row r="16" spans="1:15" x14ac:dyDescent="0.3">
      <c r="D16" t="s">
        <v>64</v>
      </c>
      <c r="F16" s="41"/>
      <c r="G16" s="29"/>
      <c r="H16" s="10"/>
    </row>
    <row r="17" spans="3:8" x14ac:dyDescent="0.3">
      <c r="D17" t="s">
        <v>54</v>
      </c>
      <c r="F17" s="41"/>
      <c r="G17" s="9"/>
      <c r="H17" s="10"/>
    </row>
    <row r="18" spans="3:8" x14ac:dyDescent="0.3">
      <c r="C18" t="s">
        <v>52</v>
      </c>
      <c r="F18" s="41"/>
      <c r="G18" s="9"/>
      <c r="H18" s="10">
        <f t="shared" si="0"/>
        <v>0</v>
      </c>
    </row>
    <row r="19" spans="3:8" x14ac:dyDescent="0.3">
      <c r="D19" t="s">
        <v>66</v>
      </c>
      <c r="E19">
        <v>8</v>
      </c>
      <c r="F19" s="41" t="s">
        <v>62</v>
      </c>
      <c r="G19" s="29">
        <f>'LRMF NC Electric Z9'!G19*'LRMF NC Electric Z3 O2'!G19/'LRMF NC Electric Z3 S'!G19</f>
        <v>6500</v>
      </c>
      <c r="H19" s="10">
        <f t="shared" si="0"/>
        <v>52000</v>
      </c>
    </row>
    <row r="20" spans="3:8" ht="30" customHeight="1" x14ac:dyDescent="0.3">
      <c r="D20" s="24" t="s">
        <v>96</v>
      </c>
      <c r="F20" s="41"/>
      <c r="G20" s="9"/>
      <c r="H20" s="10">
        <f t="shared" si="0"/>
        <v>0</v>
      </c>
    </row>
    <row r="21" spans="3:8" x14ac:dyDescent="0.3">
      <c r="D21" s="15" t="s">
        <v>68</v>
      </c>
      <c r="E21">
        <v>8</v>
      </c>
      <c r="F21" s="41" t="s">
        <v>62</v>
      </c>
      <c r="G21" s="9">
        <v>100</v>
      </c>
      <c r="H21" s="10">
        <f t="shared" si="0"/>
        <v>800</v>
      </c>
    </row>
    <row r="22" spans="3:8" x14ac:dyDescent="0.3">
      <c r="D22" s="15" t="s">
        <v>114</v>
      </c>
      <c r="E22">
        <v>800</v>
      </c>
      <c r="F22" s="41" t="s">
        <v>67</v>
      </c>
      <c r="G22" s="9">
        <v>4</v>
      </c>
      <c r="H22" s="10">
        <f t="shared" si="0"/>
        <v>3200</v>
      </c>
    </row>
    <row r="23" spans="3:8" x14ac:dyDescent="0.3">
      <c r="D23" t="s">
        <v>64</v>
      </c>
      <c r="E23">
        <v>8</v>
      </c>
      <c r="F23" s="41" t="s">
        <v>60</v>
      </c>
      <c r="G23" s="9">
        <v>400</v>
      </c>
      <c r="H23" s="10">
        <f t="shared" si="0"/>
        <v>3200</v>
      </c>
    </row>
    <row r="24" spans="3:8" x14ac:dyDescent="0.3">
      <c r="D24" t="s">
        <v>54</v>
      </c>
      <c r="E24">
        <v>96</v>
      </c>
      <c r="F24" s="41" t="s">
        <v>58</v>
      </c>
      <c r="G24" s="9">
        <f>VLOOKUP($A$4,zone_lu,4)</f>
        <v>58.866228829999997</v>
      </c>
      <c r="H24" s="10">
        <f t="shared" si="0"/>
        <v>5651.1579676799993</v>
      </c>
    </row>
    <row r="25" spans="3:8" x14ac:dyDescent="0.3">
      <c r="C25" t="s">
        <v>106</v>
      </c>
      <c r="F25" s="41"/>
      <c r="G25" s="9"/>
      <c r="H25" s="10"/>
    </row>
    <row r="26" spans="3:8" x14ac:dyDescent="0.3">
      <c r="D26" t="s">
        <v>111</v>
      </c>
      <c r="E26">
        <v>8</v>
      </c>
      <c r="F26" s="41" t="s">
        <v>62</v>
      </c>
      <c r="G26" s="9">
        <v>400</v>
      </c>
      <c r="H26" s="10">
        <f t="shared" si="0"/>
        <v>3200</v>
      </c>
    </row>
    <row r="27" spans="3:8" x14ac:dyDescent="0.3">
      <c r="C27" t="s">
        <v>128</v>
      </c>
      <c r="F27" s="41"/>
      <c r="G27" s="9"/>
      <c r="H27" s="10"/>
    </row>
    <row r="28" spans="3:8" x14ac:dyDescent="0.3">
      <c r="D28" t="s">
        <v>129</v>
      </c>
      <c r="E28">
        <v>16</v>
      </c>
      <c r="F28" s="41" t="s">
        <v>62</v>
      </c>
      <c r="G28" s="9">
        <v>65</v>
      </c>
      <c r="H28" s="10">
        <f t="shared" si="0"/>
        <v>1040</v>
      </c>
    </row>
    <row r="29" spans="3:8" x14ac:dyDescent="0.3">
      <c r="D29" t="s">
        <v>130</v>
      </c>
      <c r="F29" s="41"/>
      <c r="G29" s="9"/>
      <c r="H29" s="38" t="s">
        <v>116</v>
      </c>
    </row>
    <row r="30" spans="3:8" x14ac:dyDescent="0.3">
      <c r="D30" t="s">
        <v>131</v>
      </c>
      <c r="F30" s="41"/>
      <c r="G30" s="9"/>
      <c r="H30" s="38" t="s">
        <v>116</v>
      </c>
    </row>
    <row r="31" spans="3:8" x14ac:dyDescent="0.3">
      <c r="D31" t="s">
        <v>54</v>
      </c>
      <c r="E31">
        <f>8*6</f>
        <v>48</v>
      </c>
      <c r="F31" s="41" t="s">
        <v>58</v>
      </c>
      <c r="G31" s="9">
        <f>VLOOKUP($A$4,zone_lu,4)</f>
        <v>58.866228829999997</v>
      </c>
      <c r="H31" s="10">
        <f t="shared" si="0"/>
        <v>2825.5789838399996</v>
      </c>
    </row>
    <row r="32" spans="3:8" x14ac:dyDescent="0.3">
      <c r="C32" t="s">
        <v>118</v>
      </c>
      <c r="F32" s="41"/>
      <c r="G32" s="9"/>
      <c r="H32" s="10">
        <f t="shared" si="0"/>
        <v>0</v>
      </c>
    </row>
    <row r="33" spans="2:9" x14ac:dyDescent="0.3">
      <c r="D33" t="s">
        <v>121</v>
      </c>
      <c r="F33" s="41"/>
      <c r="G33" s="9"/>
      <c r="H33" s="38" t="s">
        <v>132</v>
      </c>
    </row>
    <row r="34" spans="2:9" x14ac:dyDescent="0.3">
      <c r="D34" t="s">
        <v>54</v>
      </c>
      <c r="F34" s="41"/>
      <c r="G34" s="9"/>
      <c r="H34" s="38" t="s">
        <v>132</v>
      </c>
    </row>
    <row r="35" spans="2:9" x14ac:dyDescent="0.3">
      <c r="E35" s="11"/>
      <c r="F35" s="42"/>
      <c r="G35" s="12"/>
      <c r="H35" s="13">
        <f>SUBTOTAL(9,H12:H34)</f>
        <v>71916.736951519997</v>
      </c>
    </row>
    <row r="36" spans="2:9" x14ac:dyDescent="0.3">
      <c r="E36" s="16"/>
      <c r="F36" s="43"/>
      <c r="G36" s="17"/>
      <c r="H36" s="18"/>
    </row>
    <row r="37" spans="2:9" x14ac:dyDescent="0.3">
      <c r="B37" s="11"/>
      <c r="C37" s="11" t="s">
        <v>71</v>
      </c>
      <c r="D37" s="11"/>
      <c r="E37" s="11"/>
      <c r="F37" s="42"/>
      <c r="G37" s="12"/>
      <c r="H37" s="13">
        <f>SUBTOTAL(9,H6:H36)</f>
        <v>71916.736951519997</v>
      </c>
    </row>
    <row r="38" spans="2:9" x14ac:dyDescent="0.3">
      <c r="F38" s="41"/>
      <c r="G38" s="9"/>
      <c r="H38" s="10">
        <f t="shared" si="0"/>
        <v>0</v>
      </c>
    </row>
    <row r="39" spans="2:9" x14ac:dyDescent="0.3">
      <c r="B39" t="s">
        <v>104</v>
      </c>
      <c r="E39" s="49">
        <f>ROUND(VLOOKUP($A$4,zone_lu,5)*0.6,2)</f>
        <v>0.09</v>
      </c>
      <c r="F39" s="41"/>
      <c r="G39" s="9"/>
      <c r="H39" s="10">
        <f>ROUND(H37*E39,0)</f>
        <v>6473</v>
      </c>
      <c r="I39" s="10">
        <f>ROUND(I37*F39,0)</f>
        <v>0</v>
      </c>
    </row>
    <row r="40" spans="2:9" x14ac:dyDescent="0.3">
      <c r="E40" s="49"/>
      <c r="F40" s="41"/>
      <c r="G40" s="9"/>
      <c r="H40" s="10"/>
      <c r="I40" s="10"/>
    </row>
    <row r="41" spans="2:9" x14ac:dyDescent="0.3">
      <c r="B41" t="s">
        <v>103</v>
      </c>
      <c r="E41" s="49">
        <f>ROUND(VLOOKUP($A$4,zone_lu,6)*0.4,2)</f>
        <v>0.04</v>
      </c>
      <c r="F41" s="41"/>
      <c r="G41" s="9"/>
      <c r="H41" s="10">
        <f>ROUND(SUM(H37:H40)*E41,0)</f>
        <v>3136</v>
      </c>
      <c r="I41" s="10"/>
    </row>
    <row r="42" spans="2:9" x14ac:dyDescent="0.3">
      <c r="E42" s="49"/>
      <c r="F42" s="41"/>
      <c r="G42" s="9"/>
      <c r="H42" s="10"/>
      <c r="I42" s="10"/>
    </row>
    <row r="43" spans="2:9" x14ac:dyDescent="0.3">
      <c r="B43" t="s">
        <v>127</v>
      </c>
      <c r="E43" s="49">
        <f>VLOOKUP($A$4,zone_lu,7)</f>
        <v>1.2500000000000001E-2</v>
      </c>
      <c r="F43" s="41"/>
      <c r="G43" s="9"/>
      <c r="H43" s="10">
        <f>ROUND(SUM(H37:H42)*E43,0)</f>
        <v>1019</v>
      </c>
      <c r="I43" s="10"/>
    </row>
    <row r="44" spans="2:9" x14ac:dyDescent="0.3">
      <c r="E44" s="49"/>
      <c r="F44" s="41"/>
      <c r="G44" s="9"/>
      <c r="H44" s="10"/>
      <c r="I44" s="10"/>
    </row>
    <row r="45" spans="2:9" x14ac:dyDescent="0.3">
      <c r="B45" t="s">
        <v>105</v>
      </c>
      <c r="E45" s="49"/>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82544.736951519997</v>
      </c>
    </row>
    <row r="49" ht="15" thickTop="1" x14ac:dyDescent="0.3"/>
  </sheetData>
  <mergeCells count="1">
    <mergeCell ref="A4:C4"/>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2"/>
  <dimension ref="A1:O49"/>
  <sheetViews>
    <sheetView showGridLines="0" topLeftCell="A7" zoomScale="90" zoomScaleNormal="90" workbookViewId="0">
      <selection activeCell="G20" sqref="G20"/>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New Construction</v>
      </c>
    </row>
    <row r="2" spans="1:15" x14ac:dyDescent="0.3">
      <c r="A2" t="s">
        <v>0</v>
      </c>
    </row>
    <row r="3" spans="1:15" x14ac:dyDescent="0.3">
      <c r="A3" t="s">
        <v>70</v>
      </c>
    </row>
    <row r="4" spans="1:15" ht="14.4" customHeight="1" x14ac:dyDescent="0.3">
      <c r="A4" s="88">
        <v>10</v>
      </c>
      <c r="B4" s="88"/>
      <c r="C4" s="88"/>
    </row>
    <row r="6" spans="1:15" x14ac:dyDescent="0.3">
      <c r="B6" t="s">
        <v>50</v>
      </c>
      <c r="F6" s="41"/>
      <c r="G6" s="9"/>
      <c r="H6" s="8"/>
    </row>
    <row r="7" spans="1:15" x14ac:dyDescent="0.3">
      <c r="C7" t="s">
        <v>120</v>
      </c>
      <c r="F7" s="41"/>
      <c r="G7" s="9"/>
      <c r="H7" s="38" t="s">
        <v>116</v>
      </c>
    </row>
    <row r="8" spans="1:15" x14ac:dyDescent="0.3">
      <c r="D8" t="s">
        <v>54</v>
      </c>
      <c r="E8">
        <v>32</v>
      </c>
      <c r="F8" s="41"/>
      <c r="G8" s="9"/>
      <c r="H8" s="10"/>
    </row>
    <row r="9" spans="1:15" x14ac:dyDescent="0.3">
      <c r="D9" t="s">
        <v>59</v>
      </c>
      <c r="F9" s="41"/>
      <c r="G9" s="9"/>
      <c r="H9" s="10"/>
    </row>
    <row r="10" spans="1:15" x14ac:dyDescent="0.3">
      <c r="E10" s="11"/>
      <c r="F10" s="42"/>
      <c r="G10" s="12"/>
      <c r="H10" s="13">
        <f>SUBTOTAL(9,H6:H9)</f>
        <v>0</v>
      </c>
    </row>
    <row r="11" spans="1:15" x14ac:dyDescent="0.3">
      <c r="F11" s="41"/>
      <c r="G11" s="9"/>
      <c r="H11" s="10">
        <f t="shared" ref="H11:H38" si="0">E11*G11</f>
        <v>0</v>
      </c>
    </row>
    <row r="12" spans="1:15" x14ac:dyDescent="0.3">
      <c r="B12" t="s">
        <v>51</v>
      </c>
      <c r="F12" s="41"/>
      <c r="G12" s="9"/>
      <c r="H12" s="10">
        <f t="shared" si="0"/>
        <v>0</v>
      </c>
    </row>
    <row r="13" spans="1:15" x14ac:dyDescent="0.3">
      <c r="C13" t="s">
        <v>53</v>
      </c>
      <c r="F13" s="41"/>
      <c r="G13" s="9"/>
      <c r="H13" s="39" t="s">
        <v>117</v>
      </c>
    </row>
    <row r="14" spans="1:15" x14ac:dyDescent="0.3">
      <c r="D14" t="s">
        <v>61</v>
      </c>
      <c r="F14" s="41"/>
      <c r="G14" s="29"/>
      <c r="H14" s="10"/>
    </row>
    <row r="15" spans="1:15" x14ac:dyDescent="0.3">
      <c r="D15" s="14" t="s">
        <v>73</v>
      </c>
      <c r="F15" s="41"/>
      <c r="G15" s="29"/>
      <c r="H15" s="10"/>
    </row>
    <row r="16" spans="1:15" x14ac:dyDescent="0.3">
      <c r="D16" t="s">
        <v>64</v>
      </c>
      <c r="F16" s="41"/>
      <c r="G16" s="29"/>
      <c r="H16" s="10"/>
    </row>
    <row r="17" spans="3:8" x14ac:dyDescent="0.3">
      <c r="D17" t="s">
        <v>54</v>
      </c>
      <c r="F17" s="41"/>
      <c r="G17" s="9"/>
      <c r="H17" s="10"/>
    </row>
    <row r="18" spans="3:8" x14ac:dyDescent="0.3">
      <c r="C18" t="s">
        <v>52</v>
      </c>
      <c r="F18" s="41"/>
      <c r="G18" s="9"/>
      <c r="H18" s="10">
        <f t="shared" si="0"/>
        <v>0</v>
      </c>
    </row>
    <row r="19" spans="3:8" x14ac:dyDescent="0.3">
      <c r="D19" t="s">
        <v>66</v>
      </c>
      <c r="E19">
        <v>8</v>
      </c>
      <c r="F19" s="41" t="s">
        <v>62</v>
      </c>
      <c r="G19" s="29">
        <v>5200</v>
      </c>
      <c r="H19" s="10">
        <f t="shared" si="0"/>
        <v>41600</v>
      </c>
    </row>
    <row r="20" spans="3:8" ht="30" customHeight="1" x14ac:dyDescent="0.3">
      <c r="D20" s="24" t="s">
        <v>83</v>
      </c>
      <c r="F20" s="41"/>
      <c r="G20" s="9"/>
      <c r="H20" s="10">
        <f t="shared" si="0"/>
        <v>0</v>
      </c>
    </row>
    <row r="21" spans="3:8" x14ac:dyDescent="0.3">
      <c r="D21" s="15" t="s">
        <v>68</v>
      </c>
      <c r="E21">
        <v>8</v>
      </c>
      <c r="F21" s="41" t="s">
        <v>62</v>
      </c>
      <c r="G21" s="9">
        <v>100</v>
      </c>
      <c r="H21" s="10">
        <f t="shared" si="0"/>
        <v>800</v>
      </c>
    </row>
    <row r="22" spans="3:8" x14ac:dyDescent="0.3">
      <c r="D22" s="15" t="s">
        <v>114</v>
      </c>
      <c r="E22">
        <v>800</v>
      </c>
      <c r="F22" s="41" t="s">
        <v>67</v>
      </c>
      <c r="G22" s="9">
        <v>4</v>
      </c>
      <c r="H22" s="10">
        <f t="shared" si="0"/>
        <v>3200</v>
      </c>
    </row>
    <row r="23" spans="3:8" x14ac:dyDescent="0.3">
      <c r="D23" t="s">
        <v>64</v>
      </c>
      <c r="E23">
        <v>8</v>
      </c>
      <c r="F23" s="41" t="s">
        <v>60</v>
      </c>
      <c r="G23" s="9">
        <v>400</v>
      </c>
      <c r="H23" s="10">
        <f t="shared" si="0"/>
        <v>3200</v>
      </c>
    </row>
    <row r="24" spans="3:8" x14ac:dyDescent="0.3">
      <c r="D24" t="s">
        <v>54</v>
      </c>
      <c r="E24">
        <v>96</v>
      </c>
      <c r="F24" s="41" t="s">
        <v>58</v>
      </c>
      <c r="G24" s="9">
        <f>VLOOKUP($A$4,zone_lu,4)</f>
        <v>58.866228829999997</v>
      </c>
      <c r="H24" s="10">
        <f t="shared" si="0"/>
        <v>5651.1579676799993</v>
      </c>
    </row>
    <row r="25" spans="3:8" x14ac:dyDescent="0.3">
      <c r="C25" t="s">
        <v>106</v>
      </c>
      <c r="F25" s="41"/>
      <c r="G25" s="9"/>
      <c r="H25" s="10"/>
    </row>
    <row r="26" spans="3:8" x14ac:dyDescent="0.3">
      <c r="D26" t="s">
        <v>111</v>
      </c>
      <c r="E26">
        <v>8</v>
      </c>
      <c r="F26" s="41" t="s">
        <v>62</v>
      </c>
      <c r="G26" s="9">
        <v>400</v>
      </c>
      <c r="H26" s="10">
        <f t="shared" si="0"/>
        <v>3200</v>
      </c>
    </row>
    <row r="27" spans="3:8" x14ac:dyDescent="0.3">
      <c r="C27" t="s">
        <v>128</v>
      </c>
      <c r="F27" s="41"/>
      <c r="G27" s="9"/>
      <c r="H27" s="10"/>
    </row>
    <row r="28" spans="3:8" x14ac:dyDescent="0.3">
      <c r="D28" t="s">
        <v>129</v>
      </c>
      <c r="E28">
        <v>16</v>
      </c>
      <c r="F28" s="41" t="s">
        <v>62</v>
      </c>
      <c r="G28" s="9">
        <v>65</v>
      </c>
      <c r="H28" s="10">
        <f t="shared" si="0"/>
        <v>1040</v>
      </c>
    </row>
    <row r="29" spans="3:8" x14ac:dyDescent="0.3">
      <c r="D29" t="s">
        <v>130</v>
      </c>
      <c r="F29" s="41"/>
      <c r="G29" s="9"/>
      <c r="H29" s="38" t="s">
        <v>116</v>
      </c>
    </row>
    <row r="30" spans="3:8" x14ac:dyDescent="0.3">
      <c r="D30" t="s">
        <v>131</v>
      </c>
      <c r="F30" s="41"/>
      <c r="G30" s="9"/>
      <c r="H30" s="38" t="s">
        <v>116</v>
      </c>
    </row>
    <row r="31" spans="3:8" x14ac:dyDescent="0.3">
      <c r="D31" t="s">
        <v>54</v>
      </c>
      <c r="E31">
        <f>8*6</f>
        <v>48</v>
      </c>
      <c r="F31" s="41" t="s">
        <v>58</v>
      </c>
      <c r="G31" s="9">
        <f>VLOOKUP($A$4,zone_lu,4)</f>
        <v>58.866228829999997</v>
      </c>
      <c r="H31" s="10">
        <f t="shared" si="0"/>
        <v>2825.5789838399996</v>
      </c>
    </row>
    <row r="32" spans="3:8" x14ac:dyDescent="0.3">
      <c r="C32" t="s">
        <v>118</v>
      </c>
      <c r="F32" s="41"/>
      <c r="G32" s="9"/>
      <c r="H32" s="10">
        <f t="shared" si="0"/>
        <v>0</v>
      </c>
    </row>
    <row r="33" spans="2:9" x14ac:dyDescent="0.3">
      <c r="D33" t="s">
        <v>121</v>
      </c>
      <c r="F33" s="41"/>
      <c r="G33" s="9"/>
      <c r="H33" s="38" t="s">
        <v>132</v>
      </c>
    </row>
    <row r="34" spans="2:9" x14ac:dyDescent="0.3">
      <c r="D34" t="s">
        <v>54</v>
      </c>
      <c r="F34" s="41"/>
      <c r="G34" s="9"/>
      <c r="H34" s="38" t="s">
        <v>132</v>
      </c>
    </row>
    <row r="35" spans="2:9" x14ac:dyDescent="0.3">
      <c r="E35" s="11"/>
      <c r="F35" s="42"/>
      <c r="G35" s="12"/>
      <c r="H35" s="13">
        <f>SUBTOTAL(9,H12:H34)</f>
        <v>61516.736951520004</v>
      </c>
    </row>
    <row r="36" spans="2:9" x14ac:dyDescent="0.3">
      <c r="E36" s="16"/>
      <c r="F36" s="43"/>
      <c r="G36" s="17"/>
      <c r="H36" s="18"/>
    </row>
    <row r="37" spans="2:9" x14ac:dyDescent="0.3">
      <c r="B37" s="11"/>
      <c r="C37" s="11" t="s">
        <v>71</v>
      </c>
      <c r="D37" s="11"/>
      <c r="E37" s="11"/>
      <c r="F37" s="42"/>
      <c r="G37" s="12"/>
      <c r="H37" s="13">
        <f>SUBTOTAL(9,H6:H36)</f>
        <v>61516.736951520004</v>
      </c>
    </row>
    <row r="38" spans="2:9" x14ac:dyDescent="0.3">
      <c r="F38" s="41"/>
      <c r="G38" s="9"/>
      <c r="H38" s="10">
        <f t="shared" si="0"/>
        <v>0</v>
      </c>
    </row>
    <row r="39" spans="2:9" x14ac:dyDescent="0.3">
      <c r="B39" t="s">
        <v>104</v>
      </c>
      <c r="E39" s="49">
        <f>ROUND(VLOOKUP($A$4,zone_lu,5)*0.6,2)</f>
        <v>0.09</v>
      </c>
      <c r="F39" s="41"/>
      <c r="G39" s="9"/>
      <c r="H39" s="10">
        <f>ROUND(H37*E39,0)</f>
        <v>5537</v>
      </c>
      <c r="I39" s="10">
        <f>ROUND(I37*F39,0)</f>
        <v>0</v>
      </c>
    </row>
    <row r="40" spans="2:9" x14ac:dyDescent="0.3">
      <c r="E40" s="49"/>
      <c r="F40" s="41"/>
      <c r="G40" s="9"/>
      <c r="H40" s="10"/>
      <c r="I40" s="10"/>
    </row>
    <row r="41" spans="2:9" x14ac:dyDescent="0.3">
      <c r="B41" t="s">
        <v>103</v>
      </c>
      <c r="E41" s="49">
        <f>ROUND(VLOOKUP($A$4,zone_lu,6)*0.4,2)</f>
        <v>0.04</v>
      </c>
      <c r="F41" s="41"/>
      <c r="G41" s="9"/>
      <c r="H41" s="10">
        <f>ROUND(SUM(H37:H40)*E41,0)</f>
        <v>2682</v>
      </c>
      <c r="I41" s="10"/>
    </row>
    <row r="42" spans="2:9" x14ac:dyDescent="0.3">
      <c r="E42" s="49"/>
      <c r="F42" s="41"/>
      <c r="G42" s="9"/>
      <c r="H42" s="10"/>
      <c r="I42" s="10"/>
    </row>
    <row r="43" spans="2:9" x14ac:dyDescent="0.3">
      <c r="B43" t="s">
        <v>127</v>
      </c>
      <c r="E43" s="49">
        <f>VLOOKUP($A$4,zone_lu,7)</f>
        <v>1.2500000000000001E-2</v>
      </c>
      <c r="F43" s="41"/>
      <c r="G43" s="9"/>
      <c r="H43" s="10">
        <f>ROUND(SUM(H37:H42)*E43,0)</f>
        <v>872</v>
      </c>
      <c r="I43" s="10"/>
    </row>
    <row r="44" spans="2:9" x14ac:dyDescent="0.3">
      <c r="E44" s="49"/>
      <c r="F44" s="41"/>
      <c r="G44" s="9"/>
      <c r="H44" s="10"/>
      <c r="I44" s="10"/>
    </row>
    <row r="45" spans="2:9" x14ac:dyDescent="0.3">
      <c r="B45" t="s">
        <v>105</v>
      </c>
      <c r="E45" s="49"/>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70607.736951519997</v>
      </c>
    </row>
    <row r="49" ht="15" thickTop="1" x14ac:dyDescent="0.3"/>
  </sheetData>
  <mergeCells count="1">
    <mergeCell ref="A4:C4"/>
  </mergeCells>
  <pageMargins left="0.7" right="0.7" top="0.75" bottom="0.75" header="0.3" footer="0.3"/>
  <legacy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14"/>
  <dimension ref="A1:O49"/>
  <sheetViews>
    <sheetView showGridLines="0" topLeftCell="A7"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New Construction</v>
      </c>
    </row>
    <row r="2" spans="1:15" x14ac:dyDescent="0.3">
      <c r="A2" t="s">
        <v>0</v>
      </c>
    </row>
    <row r="3" spans="1:15" x14ac:dyDescent="0.3">
      <c r="A3" t="s">
        <v>70</v>
      </c>
    </row>
    <row r="4" spans="1:15" ht="14.4" customHeight="1" x14ac:dyDescent="0.3">
      <c r="A4" s="88">
        <v>12</v>
      </c>
      <c r="B4" s="88"/>
      <c r="C4" s="88"/>
    </row>
    <row r="6" spans="1:15" x14ac:dyDescent="0.3">
      <c r="B6" t="s">
        <v>50</v>
      </c>
      <c r="F6" s="41"/>
      <c r="G6" s="9"/>
      <c r="H6" s="8"/>
    </row>
    <row r="7" spans="1:15" x14ac:dyDescent="0.3">
      <c r="C7" t="s">
        <v>55</v>
      </c>
      <c r="F7" s="41"/>
      <c r="G7" s="9"/>
      <c r="H7" s="38" t="s">
        <v>116</v>
      </c>
    </row>
    <row r="8" spans="1:15" x14ac:dyDescent="0.3">
      <c r="D8" t="s">
        <v>54</v>
      </c>
      <c r="F8" s="41"/>
      <c r="G8" s="9"/>
      <c r="H8" s="10"/>
    </row>
    <row r="9" spans="1:15" x14ac:dyDescent="0.3">
      <c r="D9" t="s">
        <v>59</v>
      </c>
      <c r="F9" s="41"/>
      <c r="G9" s="9"/>
      <c r="H9" s="10"/>
    </row>
    <row r="10" spans="1:15" x14ac:dyDescent="0.3">
      <c r="E10" s="11"/>
      <c r="F10" s="42"/>
      <c r="G10" s="12"/>
      <c r="H10" s="13">
        <f>SUBTOTAL(9,H6:H9)</f>
        <v>0</v>
      </c>
    </row>
    <row r="11" spans="1:15" x14ac:dyDescent="0.3">
      <c r="F11" s="41"/>
      <c r="G11" s="9"/>
      <c r="H11" s="10">
        <f t="shared" ref="H11:H38" si="0">E11*G11</f>
        <v>0</v>
      </c>
    </row>
    <row r="12" spans="1:15" x14ac:dyDescent="0.3">
      <c r="B12" t="s">
        <v>51</v>
      </c>
      <c r="F12" s="41"/>
      <c r="G12" s="9"/>
      <c r="H12" s="10">
        <f t="shared" si="0"/>
        <v>0</v>
      </c>
    </row>
    <row r="13" spans="1:15" x14ac:dyDescent="0.3">
      <c r="C13" t="s">
        <v>53</v>
      </c>
      <c r="F13" s="41"/>
      <c r="G13" s="9"/>
      <c r="H13" s="37" t="s">
        <v>117</v>
      </c>
    </row>
    <row r="14" spans="1:15" x14ac:dyDescent="0.3">
      <c r="D14" t="s">
        <v>61</v>
      </c>
      <c r="F14" s="41"/>
      <c r="G14" s="29"/>
      <c r="H14" s="10"/>
    </row>
    <row r="15" spans="1:15" x14ac:dyDescent="0.3">
      <c r="D15" s="14" t="s">
        <v>73</v>
      </c>
      <c r="F15" s="41"/>
      <c r="G15" s="29"/>
      <c r="H15" s="10"/>
    </row>
    <row r="16" spans="1:15" x14ac:dyDescent="0.3">
      <c r="D16" t="s">
        <v>64</v>
      </c>
      <c r="F16" s="41"/>
      <c r="G16" s="29"/>
      <c r="H16" s="10"/>
    </row>
    <row r="17" spans="3:8" x14ac:dyDescent="0.3">
      <c r="D17" t="s">
        <v>54</v>
      </c>
      <c r="F17" s="41"/>
      <c r="G17" s="9"/>
      <c r="H17" s="10"/>
    </row>
    <row r="18" spans="3:8" x14ac:dyDescent="0.3">
      <c r="C18" t="s">
        <v>52</v>
      </c>
      <c r="F18" s="41"/>
      <c r="G18" s="9"/>
      <c r="H18" s="10">
        <f t="shared" si="0"/>
        <v>0</v>
      </c>
    </row>
    <row r="19" spans="3:8" x14ac:dyDescent="0.3">
      <c r="D19" t="s">
        <v>66</v>
      </c>
      <c r="E19">
        <v>8</v>
      </c>
      <c r="F19" s="41" t="s">
        <v>62</v>
      </c>
      <c r="G19" s="29">
        <v>5200</v>
      </c>
      <c r="H19" s="10">
        <f t="shared" si="0"/>
        <v>41600</v>
      </c>
    </row>
    <row r="20" spans="3:8" ht="30" customHeight="1" x14ac:dyDescent="0.3">
      <c r="D20" s="24" t="s">
        <v>83</v>
      </c>
      <c r="F20" s="41"/>
      <c r="G20" s="9"/>
      <c r="H20" s="10">
        <f t="shared" si="0"/>
        <v>0</v>
      </c>
    </row>
    <row r="21" spans="3:8" x14ac:dyDescent="0.3">
      <c r="D21" s="15" t="s">
        <v>68</v>
      </c>
      <c r="E21">
        <v>8</v>
      </c>
      <c r="F21" s="41" t="s">
        <v>62</v>
      </c>
      <c r="G21" s="9">
        <v>100</v>
      </c>
      <c r="H21" s="10">
        <f t="shared" si="0"/>
        <v>800</v>
      </c>
    </row>
    <row r="22" spans="3:8" x14ac:dyDescent="0.3">
      <c r="D22" s="15" t="s">
        <v>114</v>
      </c>
      <c r="E22">
        <v>800</v>
      </c>
      <c r="F22" s="41" t="s">
        <v>67</v>
      </c>
      <c r="G22" s="9">
        <v>4</v>
      </c>
      <c r="H22" s="10">
        <f t="shared" si="0"/>
        <v>3200</v>
      </c>
    </row>
    <row r="23" spans="3:8" x14ac:dyDescent="0.3">
      <c r="D23" t="s">
        <v>64</v>
      </c>
      <c r="E23">
        <v>8</v>
      </c>
      <c r="F23" s="41" t="s">
        <v>60</v>
      </c>
      <c r="G23" s="9">
        <v>400</v>
      </c>
      <c r="H23" s="10">
        <f t="shared" si="0"/>
        <v>3200</v>
      </c>
    </row>
    <row r="24" spans="3:8" x14ac:dyDescent="0.3">
      <c r="D24" t="s">
        <v>54</v>
      </c>
      <c r="E24">
        <v>96</v>
      </c>
      <c r="F24" s="41" t="s">
        <v>58</v>
      </c>
      <c r="G24" s="9">
        <f>VLOOKUP($A$4,zone_lu,4)</f>
        <v>58.866228829999997</v>
      </c>
      <c r="H24" s="10">
        <f t="shared" si="0"/>
        <v>5651.1579676799993</v>
      </c>
    </row>
    <row r="25" spans="3:8" x14ac:dyDescent="0.3">
      <c r="C25" t="s">
        <v>106</v>
      </c>
      <c r="F25" s="41"/>
      <c r="G25" s="9"/>
      <c r="H25" s="10"/>
    </row>
    <row r="26" spans="3:8" x14ac:dyDescent="0.3">
      <c r="D26" t="s">
        <v>111</v>
      </c>
      <c r="E26">
        <v>8</v>
      </c>
      <c r="F26" s="41" t="s">
        <v>62</v>
      </c>
      <c r="G26" s="9">
        <v>400</v>
      </c>
      <c r="H26" s="10">
        <f t="shared" si="0"/>
        <v>3200</v>
      </c>
    </row>
    <row r="27" spans="3:8" x14ac:dyDescent="0.3">
      <c r="C27" t="s">
        <v>128</v>
      </c>
      <c r="F27" s="41"/>
      <c r="G27" s="9"/>
      <c r="H27" s="10"/>
    </row>
    <row r="28" spans="3:8" x14ac:dyDescent="0.3">
      <c r="D28" t="s">
        <v>129</v>
      </c>
      <c r="E28">
        <v>16</v>
      </c>
      <c r="F28" s="41" t="s">
        <v>62</v>
      </c>
      <c r="G28" s="9">
        <v>65</v>
      </c>
      <c r="H28" s="10">
        <f t="shared" si="0"/>
        <v>1040</v>
      </c>
    </row>
    <row r="29" spans="3:8" x14ac:dyDescent="0.3">
      <c r="D29" t="s">
        <v>130</v>
      </c>
      <c r="F29" s="41"/>
      <c r="G29" s="9"/>
      <c r="H29" s="38" t="s">
        <v>116</v>
      </c>
    </row>
    <row r="30" spans="3:8" x14ac:dyDescent="0.3">
      <c r="D30" t="s">
        <v>131</v>
      </c>
      <c r="F30" s="41"/>
      <c r="G30" s="9"/>
      <c r="H30" s="38" t="s">
        <v>116</v>
      </c>
    </row>
    <row r="31" spans="3:8" x14ac:dyDescent="0.3">
      <c r="D31" t="s">
        <v>54</v>
      </c>
      <c r="E31">
        <f>8*6</f>
        <v>48</v>
      </c>
      <c r="F31" s="41" t="s">
        <v>58</v>
      </c>
      <c r="G31" s="9">
        <f>VLOOKUP($A$4,zone_lu,4)</f>
        <v>58.866228829999997</v>
      </c>
      <c r="H31" s="10">
        <f t="shared" si="0"/>
        <v>2825.5789838399996</v>
      </c>
    </row>
    <row r="32" spans="3:8" x14ac:dyDescent="0.3">
      <c r="C32" t="s">
        <v>118</v>
      </c>
      <c r="F32" s="41"/>
      <c r="G32" s="9"/>
      <c r="H32" s="10">
        <f t="shared" si="0"/>
        <v>0</v>
      </c>
    </row>
    <row r="33" spans="2:9" x14ac:dyDescent="0.3">
      <c r="D33" t="s">
        <v>64</v>
      </c>
      <c r="F33" s="41"/>
      <c r="G33" s="9"/>
      <c r="H33" s="38" t="s">
        <v>132</v>
      </c>
    </row>
    <row r="34" spans="2:9" x14ac:dyDescent="0.3">
      <c r="D34" t="s">
        <v>54</v>
      </c>
      <c r="F34" s="41"/>
      <c r="G34" s="9"/>
      <c r="H34" s="38" t="s">
        <v>132</v>
      </c>
    </row>
    <row r="35" spans="2:9" x14ac:dyDescent="0.3">
      <c r="E35" s="11"/>
      <c r="F35" s="42"/>
      <c r="G35" s="12"/>
      <c r="H35" s="13">
        <f>SUBTOTAL(9,H12:H34)</f>
        <v>61516.736951520004</v>
      </c>
    </row>
    <row r="36" spans="2:9" x14ac:dyDescent="0.3">
      <c r="E36" s="16"/>
      <c r="F36" s="43"/>
      <c r="G36" s="17"/>
      <c r="H36" s="18"/>
    </row>
    <row r="37" spans="2:9" x14ac:dyDescent="0.3">
      <c r="B37" s="11"/>
      <c r="C37" s="11" t="s">
        <v>71</v>
      </c>
      <c r="D37" s="11"/>
      <c r="E37" s="11"/>
      <c r="F37" s="42"/>
      <c r="G37" s="12"/>
      <c r="H37" s="13">
        <f>SUBTOTAL(9,H6:H36)</f>
        <v>61516.736951520004</v>
      </c>
    </row>
    <row r="38" spans="2:9" x14ac:dyDescent="0.3">
      <c r="F38" s="41"/>
      <c r="G38" s="9"/>
      <c r="H38" s="10">
        <f t="shared" si="0"/>
        <v>0</v>
      </c>
    </row>
    <row r="39" spans="2:9" x14ac:dyDescent="0.3">
      <c r="B39" t="s">
        <v>104</v>
      </c>
      <c r="E39" s="49">
        <f>ROUND(VLOOKUP($A$4,zone_lu,5)*0.6,2)</f>
        <v>0.09</v>
      </c>
      <c r="F39" s="41"/>
      <c r="G39" s="9"/>
      <c r="H39" s="10">
        <f>ROUND(H37*E39,0)</f>
        <v>5537</v>
      </c>
      <c r="I39" s="10">
        <f>ROUND(I37*F39,0)</f>
        <v>0</v>
      </c>
    </row>
    <row r="40" spans="2:9" x14ac:dyDescent="0.3">
      <c r="E40" s="49"/>
      <c r="F40" s="41"/>
      <c r="G40" s="9"/>
      <c r="H40" s="10"/>
      <c r="I40" s="10"/>
    </row>
    <row r="41" spans="2:9" x14ac:dyDescent="0.3">
      <c r="B41" t="s">
        <v>103</v>
      </c>
      <c r="E41" s="49">
        <f>ROUND(VLOOKUP($A$4,zone_lu,6)*0.4,2)</f>
        <v>0.04</v>
      </c>
      <c r="F41" s="41"/>
      <c r="G41" s="9"/>
      <c r="H41" s="10">
        <f>ROUND(SUM(H37:H40)*E41,0)</f>
        <v>2682</v>
      </c>
      <c r="I41" s="10"/>
    </row>
    <row r="42" spans="2:9" x14ac:dyDescent="0.3">
      <c r="E42" s="49"/>
      <c r="F42" s="41"/>
      <c r="G42" s="9"/>
      <c r="H42" s="10"/>
      <c r="I42" s="10"/>
    </row>
    <row r="43" spans="2:9" x14ac:dyDescent="0.3">
      <c r="B43" t="s">
        <v>127</v>
      </c>
      <c r="E43" s="49">
        <f>VLOOKUP($A$4,zone_lu,7)</f>
        <v>1.2500000000000001E-2</v>
      </c>
      <c r="F43" s="41"/>
      <c r="G43" s="9"/>
      <c r="H43" s="10">
        <f>ROUND(SUM(H37:H42)*E43,0)</f>
        <v>872</v>
      </c>
      <c r="I43" s="10"/>
    </row>
    <row r="44" spans="2:9" x14ac:dyDescent="0.3">
      <c r="E44" s="49"/>
      <c r="F44" s="41"/>
      <c r="G44" s="9"/>
      <c r="H44" s="10"/>
      <c r="I44" s="10"/>
    </row>
    <row r="45" spans="2:9" x14ac:dyDescent="0.3">
      <c r="B45" t="s">
        <v>105</v>
      </c>
      <c r="E45" s="49"/>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70607.736951519997</v>
      </c>
    </row>
    <row r="49" ht="15" thickTop="1" x14ac:dyDescent="0.3"/>
  </sheetData>
  <mergeCells count="1">
    <mergeCell ref="A4:C4"/>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F58C4-8E1D-42E1-A441-943555EBC538}">
  <sheetPr codeName="Sheet43"/>
  <dimension ref="A1:O49"/>
  <sheetViews>
    <sheetView showGridLines="0" topLeftCell="A7" zoomScale="90" zoomScaleNormal="90" workbookViewId="0">
      <selection activeCell="G20" sqref="G20"/>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New Construction</v>
      </c>
    </row>
    <row r="2" spans="1:15" x14ac:dyDescent="0.3">
      <c r="A2" t="s">
        <v>0</v>
      </c>
    </row>
    <row r="3" spans="1:15" x14ac:dyDescent="0.3">
      <c r="A3" t="s">
        <v>70</v>
      </c>
    </row>
    <row r="4" spans="1:15" ht="14.4" customHeight="1" x14ac:dyDescent="0.3">
      <c r="A4" s="88">
        <v>12</v>
      </c>
      <c r="B4" s="88"/>
      <c r="C4" s="88"/>
    </row>
    <row r="6" spans="1:15" x14ac:dyDescent="0.3">
      <c r="B6" t="s">
        <v>50</v>
      </c>
      <c r="F6" s="41"/>
      <c r="G6" s="9"/>
      <c r="H6" s="8"/>
    </row>
    <row r="7" spans="1:15" x14ac:dyDescent="0.3">
      <c r="C7" t="s">
        <v>55</v>
      </c>
      <c r="F7" s="41"/>
      <c r="G7" s="9"/>
      <c r="H7" s="38" t="s">
        <v>116</v>
      </c>
    </row>
    <row r="8" spans="1:15" x14ac:dyDescent="0.3">
      <c r="D8" t="s">
        <v>54</v>
      </c>
      <c r="F8" s="41"/>
      <c r="G8" s="9"/>
      <c r="H8" s="10"/>
    </row>
    <row r="9" spans="1:15" x14ac:dyDescent="0.3">
      <c r="D9" t="s">
        <v>59</v>
      </c>
      <c r="F9" s="41"/>
      <c r="G9" s="9"/>
      <c r="H9" s="10"/>
    </row>
    <row r="10" spans="1:15" x14ac:dyDescent="0.3">
      <c r="E10" s="11"/>
      <c r="F10" s="42"/>
      <c r="G10" s="12"/>
      <c r="H10" s="13">
        <f>SUBTOTAL(9,H6:H9)</f>
        <v>0</v>
      </c>
    </row>
    <row r="11" spans="1:15" x14ac:dyDescent="0.3">
      <c r="F11" s="41"/>
      <c r="G11" s="9"/>
      <c r="H11" s="10">
        <f t="shared" ref="H11:H38" si="0">E11*G11</f>
        <v>0</v>
      </c>
    </row>
    <row r="12" spans="1:15" x14ac:dyDescent="0.3">
      <c r="B12" t="s">
        <v>51</v>
      </c>
      <c r="F12" s="41"/>
      <c r="G12" s="9"/>
      <c r="H12" s="10">
        <f t="shared" si="0"/>
        <v>0</v>
      </c>
    </row>
    <row r="13" spans="1:15" x14ac:dyDescent="0.3">
      <c r="C13" t="s">
        <v>53</v>
      </c>
      <c r="F13" s="41"/>
      <c r="G13" s="9"/>
      <c r="H13" s="37" t="s">
        <v>117</v>
      </c>
    </row>
    <row r="14" spans="1:15" x14ac:dyDescent="0.3">
      <c r="D14" t="s">
        <v>61</v>
      </c>
      <c r="F14" s="41"/>
      <c r="G14" s="29"/>
      <c r="H14" s="10"/>
    </row>
    <row r="15" spans="1:15" x14ac:dyDescent="0.3">
      <c r="D15" s="14" t="s">
        <v>73</v>
      </c>
      <c r="F15" s="41"/>
      <c r="G15" s="29"/>
      <c r="H15" s="10"/>
    </row>
    <row r="16" spans="1:15" x14ac:dyDescent="0.3">
      <c r="D16" t="s">
        <v>64</v>
      </c>
      <c r="F16" s="41"/>
      <c r="G16" s="29"/>
      <c r="H16" s="10"/>
    </row>
    <row r="17" spans="3:8" x14ac:dyDescent="0.3">
      <c r="D17" t="s">
        <v>54</v>
      </c>
      <c r="F17" s="41"/>
      <c r="G17" s="9"/>
      <c r="H17" s="10"/>
    </row>
    <row r="18" spans="3:8" x14ac:dyDescent="0.3">
      <c r="C18" t="s">
        <v>52</v>
      </c>
      <c r="F18" s="41"/>
      <c r="G18" s="9"/>
      <c r="H18" s="10">
        <f t="shared" si="0"/>
        <v>0</v>
      </c>
    </row>
    <row r="19" spans="3:8" x14ac:dyDescent="0.3">
      <c r="D19" t="s">
        <v>66</v>
      </c>
      <c r="E19">
        <v>8</v>
      </c>
      <c r="F19" s="41" t="s">
        <v>62</v>
      </c>
      <c r="G19" s="29">
        <f>'LRMF NC Electric Z12'!G19*'LRMF NC Electric Z3 O2'!G19/'LRMF NC Electric Z3 S'!G19</f>
        <v>7041.666666666667</v>
      </c>
      <c r="H19" s="10">
        <f t="shared" si="0"/>
        <v>56333.333333333336</v>
      </c>
    </row>
    <row r="20" spans="3:8" ht="30" customHeight="1" x14ac:dyDescent="0.3">
      <c r="D20" s="24" t="s">
        <v>147</v>
      </c>
      <c r="F20" s="41"/>
      <c r="G20" s="9"/>
      <c r="H20" s="10">
        <f t="shared" si="0"/>
        <v>0</v>
      </c>
    </row>
    <row r="21" spans="3:8" x14ac:dyDescent="0.3">
      <c r="D21" s="15" t="s">
        <v>68</v>
      </c>
      <c r="E21">
        <v>8</v>
      </c>
      <c r="F21" s="41" t="s">
        <v>62</v>
      </c>
      <c r="G21" s="9">
        <v>100</v>
      </c>
      <c r="H21" s="10">
        <f t="shared" si="0"/>
        <v>800</v>
      </c>
    </row>
    <row r="22" spans="3:8" x14ac:dyDescent="0.3">
      <c r="D22" s="15" t="s">
        <v>114</v>
      </c>
      <c r="E22">
        <v>800</v>
      </c>
      <c r="F22" s="41" t="s">
        <v>67</v>
      </c>
      <c r="G22" s="9">
        <v>4</v>
      </c>
      <c r="H22" s="10">
        <f t="shared" si="0"/>
        <v>3200</v>
      </c>
    </row>
    <row r="23" spans="3:8" x14ac:dyDescent="0.3">
      <c r="D23" t="s">
        <v>64</v>
      </c>
      <c r="E23">
        <v>8</v>
      </c>
      <c r="F23" s="41" t="s">
        <v>60</v>
      </c>
      <c r="G23" s="9">
        <v>400</v>
      </c>
      <c r="H23" s="10">
        <f t="shared" si="0"/>
        <v>3200</v>
      </c>
    </row>
    <row r="24" spans="3:8" x14ac:dyDescent="0.3">
      <c r="D24" t="s">
        <v>54</v>
      </c>
      <c r="E24">
        <v>96</v>
      </c>
      <c r="F24" s="41" t="s">
        <v>58</v>
      </c>
      <c r="G24" s="9">
        <f>VLOOKUP($A$4,zone_lu,4)</f>
        <v>58.866228829999997</v>
      </c>
      <c r="H24" s="10">
        <f t="shared" si="0"/>
        <v>5651.1579676799993</v>
      </c>
    </row>
    <row r="25" spans="3:8" x14ac:dyDescent="0.3">
      <c r="C25" t="s">
        <v>106</v>
      </c>
      <c r="F25" s="41"/>
      <c r="G25" s="9"/>
      <c r="H25" s="10"/>
    </row>
    <row r="26" spans="3:8" x14ac:dyDescent="0.3">
      <c r="D26" t="s">
        <v>111</v>
      </c>
      <c r="E26">
        <v>8</v>
      </c>
      <c r="F26" s="41" t="s">
        <v>62</v>
      </c>
      <c r="G26" s="9">
        <v>400</v>
      </c>
      <c r="H26" s="10">
        <f t="shared" si="0"/>
        <v>3200</v>
      </c>
    </row>
    <row r="27" spans="3:8" x14ac:dyDescent="0.3">
      <c r="C27" t="s">
        <v>128</v>
      </c>
      <c r="F27" s="41"/>
      <c r="G27" s="9"/>
      <c r="H27" s="10"/>
    </row>
    <row r="28" spans="3:8" x14ac:dyDescent="0.3">
      <c r="D28" t="s">
        <v>129</v>
      </c>
      <c r="E28">
        <v>16</v>
      </c>
      <c r="F28" s="41" t="s">
        <v>62</v>
      </c>
      <c r="G28" s="9">
        <v>65</v>
      </c>
      <c r="H28" s="10">
        <f t="shared" si="0"/>
        <v>1040</v>
      </c>
    </row>
    <row r="29" spans="3:8" x14ac:dyDescent="0.3">
      <c r="D29" t="s">
        <v>130</v>
      </c>
      <c r="F29" s="41"/>
      <c r="G29" s="9"/>
      <c r="H29" s="38" t="s">
        <v>116</v>
      </c>
    </row>
    <row r="30" spans="3:8" x14ac:dyDescent="0.3">
      <c r="D30" t="s">
        <v>131</v>
      </c>
      <c r="F30" s="41"/>
      <c r="G30" s="9"/>
      <c r="H30" s="38" t="s">
        <v>116</v>
      </c>
    </row>
    <row r="31" spans="3:8" x14ac:dyDescent="0.3">
      <c r="D31" t="s">
        <v>54</v>
      </c>
      <c r="E31">
        <f>8*6</f>
        <v>48</v>
      </c>
      <c r="F31" s="41" t="s">
        <v>58</v>
      </c>
      <c r="G31" s="9">
        <f>VLOOKUP($A$4,zone_lu,4)</f>
        <v>58.866228829999997</v>
      </c>
      <c r="H31" s="10">
        <f t="shared" si="0"/>
        <v>2825.5789838399996</v>
      </c>
    </row>
    <row r="32" spans="3:8" x14ac:dyDescent="0.3">
      <c r="C32" t="s">
        <v>118</v>
      </c>
      <c r="F32" s="41"/>
      <c r="G32" s="9"/>
      <c r="H32" s="10">
        <f t="shared" si="0"/>
        <v>0</v>
      </c>
    </row>
    <row r="33" spans="2:9" x14ac:dyDescent="0.3">
      <c r="D33" t="s">
        <v>64</v>
      </c>
      <c r="F33" s="41"/>
      <c r="G33" s="9"/>
      <c r="H33" s="38" t="s">
        <v>132</v>
      </c>
    </row>
    <row r="34" spans="2:9" x14ac:dyDescent="0.3">
      <c r="D34" t="s">
        <v>54</v>
      </c>
      <c r="F34" s="41"/>
      <c r="G34" s="9"/>
      <c r="H34" s="38" t="s">
        <v>132</v>
      </c>
    </row>
    <row r="35" spans="2:9" x14ac:dyDescent="0.3">
      <c r="E35" s="11"/>
      <c r="F35" s="42"/>
      <c r="G35" s="12"/>
      <c r="H35" s="13">
        <f>SUBTOTAL(9,H12:H34)</f>
        <v>76250.070284853326</v>
      </c>
    </row>
    <row r="36" spans="2:9" x14ac:dyDescent="0.3">
      <c r="E36" s="16"/>
      <c r="F36" s="43"/>
      <c r="G36" s="17"/>
      <c r="H36" s="18"/>
    </row>
    <row r="37" spans="2:9" x14ac:dyDescent="0.3">
      <c r="B37" s="11"/>
      <c r="C37" s="11" t="s">
        <v>71</v>
      </c>
      <c r="D37" s="11"/>
      <c r="E37" s="11"/>
      <c r="F37" s="42"/>
      <c r="G37" s="12"/>
      <c r="H37" s="13">
        <f>SUBTOTAL(9,H6:H36)</f>
        <v>76250.070284853326</v>
      </c>
    </row>
    <row r="38" spans="2:9" x14ac:dyDescent="0.3">
      <c r="F38" s="41"/>
      <c r="G38" s="9"/>
      <c r="H38" s="10">
        <f t="shared" si="0"/>
        <v>0</v>
      </c>
    </row>
    <row r="39" spans="2:9" x14ac:dyDescent="0.3">
      <c r="B39" t="s">
        <v>104</v>
      </c>
      <c r="E39" s="49">
        <f>ROUND(VLOOKUP($A$4,zone_lu,5)*0.6,2)</f>
        <v>0.09</v>
      </c>
      <c r="F39" s="41"/>
      <c r="G39" s="9"/>
      <c r="H39" s="10">
        <f>ROUND(H37*E39,0)</f>
        <v>6863</v>
      </c>
      <c r="I39" s="10">
        <f>ROUND(I37*F39,0)</f>
        <v>0</v>
      </c>
    </row>
    <row r="40" spans="2:9" x14ac:dyDescent="0.3">
      <c r="E40" s="49"/>
      <c r="F40" s="41"/>
      <c r="G40" s="9"/>
      <c r="H40" s="10"/>
      <c r="I40" s="10"/>
    </row>
    <row r="41" spans="2:9" x14ac:dyDescent="0.3">
      <c r="B41" t="s">
        <v>103</v>
      </c>
      <c r="E41" s="49">
        <f>ROUND(VLOOKUP($A$4,zone_lu,6)*0.4,2)</f>
        <v>0.04</v>
      </c>
      <c r="F41" s="41"/>
      <c r="G41" s="9"/>
      <c r="H41" s="10">
        <f>ROUND(SUM(H37:H40)*E41,0)</f>
        <v>3325</v>
      </c>
      <c r="I41" s="10"/>
    </row>
    <row r="42" spans="2:9" x14ac:dyDescent="0.3">
      <c r="E42" s="49"/>
      <c r="F42" s="41"/>
      <c r="G42" s="9"/>
      <c r="H42" s="10"/>
      <c r="I42" s="10"/>
    </row>
    <row r="43" spans="2:9" x14ac:dyDescent="0.3">
      <c r="B43" t="s">
        <v>127</v>
      </c>
      <c r="E43" s="49">
        <f>VLOOKUP($A$4,zone_lu,7)</f>
        <v>1.2500000000000001E-2</v>
      </c>
      <c r="F43" s="41"/>
      <c r="G43" s="9"/>
      <c r="H43" s="10">
        <f>ROUND(SUM(H37:H42)*E43,0)</f>
        <v>1080</v>
      </c>
      <c r="I43" s="10"/>
    </row>
    <row r="44" spans="2:9" x14ac:dyDescent="0.3">
      <c r="E44" s="49"/>
      <c r="F44" s="41"/>
      <c r="G44" s="9"/>
      <c r="H44" s="10"/>
      <c r="I44" s="10"/>
    </row>
    <row r="45" spans="2:9" x14ac:dyDescent="0.3">
      <c r="B45" t="s">
        <v>105</v>
      </c>
      <c r="E45" s="49"/>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87518.070284853326</v>
      </c>
    </row>
    <row r="49" ht="15" thickTop="1" x14ac:dyDescent="0.3"/>
  </sheetData>
  <mergeCells count="1">
    <mergeCell ref="A4:C4"/>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FCEA82-3706-4A77-9C53-4E6E0A4D0BCE}">
  <dimension ref="A1:O49"/>
  <sheetViews>
    <sheetView showGridLines="0" zoomScale="90" zoomScaleNormal="90" workbookViewId="0">
      <selection activeCell="G20" sqref="G20"/>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O1" t="str">
        <f>A1&amp;": "&amp;A2</f>
        <v>Low Rise Multi-Family: New Construction</v>
      </c>
    </row>
    <row r="2" spans="1:15" x14ac:dyDescent="0.3">
      <c r="A2" t="s">
        <v>0</v>
      </c>
    </row>
    <row r="3" spans="1:15" x14ac:dyDescent="0.3">
      <c r="A3" t="s">
        <v>70</v>
      </c>
      <c r="F3" s="41"/>
      <c r="G3" s="9"/>
      <c r="H3" s="8"/>
    </row>
    <row r="4" spans="1:15" ht="14.4" customHeight="1" x14ac:dyDescent="0.3">
      <c r="A4" s="88">
        <v>3</v>
      </c>
      <c r="B4" s="88"/>
      <c r="C4" s="88"/>
    </row>
    <row r="6" spans="1:15" x14ac:dyDescent="0.3">
      <c r="B6" t="s">
        <v>50</v>
      </c>
      <c r="F6" s="41"/>
      <c r="G6" s="9"/>
      <c r="H6" s="8"/>
    </row>
    <row r="7" spans="1:15" x14ac:dyDescent="0.3">
      <c r="C7" t="s">
        <v>120</v>
      </c>
      <c r="F7" s="41"/>
      <c r="G7" s="9"/>
      <c r="H7" s="36" t="s">
        <v>116</v>
      </c>
    </row>
    <row r="8" spans="1:15" x14ac:dyDescent="0.3">
      <c r="D8" t="s">
        <v>54</v>
      </c>
      <c r="F8" s="41"/>
      <c r="G8" s="10"/>
      <c r="H8" s="10"/>
    </row>
    <row r="9" spans="1:15" x14ac:dyDescent="0.3">
      <c r="D9" t="s">
        <v>59</v>
      </c>
      <c r="F9" s="41"/>
      <c r="G9" s="10"/>
      <c r="H9" s="10"/>
    </row>
    <row r="10" spans="1:15" x14ac:dyDescent="0.3">
      <c r="E10" s="11"/>
      <c r="F10" s="42"/>
      <c r="G10" s="12"/>
      <c r="H10" s="13">
        <f>SUBTOTAL(9,H6:H9)</f>
        <v>0</v>
      </c>
    </row>
    <row r="11" spans="1:15" x14ac:dyDescent="0.3">
      <c r="F11" s="41"/>
      <c r="G11" s="9"/>
      <c r="H11" s="10">
        <f t="shared" ref="H11:H38" si="0">E11*G11</f>
        <v>0</v>
      </c>
    </row>
    <row r="12" spans="1:15" x14ac:dyDescent="0.3">
      <c r="B12" t="s">
        <v>51</v>
      </c>
      <c r="F12" s="41"/>
      <c r="G12" s="9"/>
      <c r="H12" s="10">
        <f t="shared" si="0"/>
        <v>0</v>
      </c>
    </row>
    <row r="13" spans="1:15" x14ac:dyDescent="0.3">
      <c r="C13" t="s">
        <v>53</v>
      </c>
      <c r="F13" s="41"/>
      <c r="G13" s="9"/>
      <c r="H13" s="39" t="s">
        <v>117</v>
      </c>
    </row>
    <row r="14" spans="1:15" x14ac:dyDescent="0.3">
      <c r="D14" t="s">
        <v>61</v>
      </c>
      <c r="F14" s="41"/>
      <c r="G14" s="28"/>
      <c r="H14" s="10"/>
    </row>
    <row r="15" spans="1:15" x14ac:dyDescent="0.3">
      <c r="D15" s="14" t="s">
        <v>73</v>
      </c>
      <c r="F15" s="41"/>
      <c r="G15" s="10"/>
      <c r="H15" s="10"/>
    </row>
    <row r="16" spans="1:15" x14ac:dyDescent="0.3">
      <c r="D16" t="s">
        <v>64</v>
      </c>
      <c r="F16" s="41"/>
      <c r="G16" s="10"/>
      <c r="H16" s="10"/>
    </row>
    <row r="17" spans="3:8" x14ac:dyDescent="0.3">
      <c r="D17" t="s">
        <v>54</v>
      </c>
      <c r="F17" s="41"/>
      <c r="G17" s="10"/>
      <c r="H17" s="10"/>
    </row>
    <row r="18" spans="3:8" x14ac:dyDescent="0.3">
      <c r="C18" t="s">
        <v>52</v>
      </c>
      <c r="F18" s="41"/>
      <c r="G18" s="9"/>
      <c r="H18" s="10">
        <f t="shared" si="0"/>
        <v>0</v>
      </c>
    </row>
    <row r="19" spans="3:8" x14ac:dyDescent="0.3">
      <c r="D19" t="s">
        <v>66</v>
      </c>
      <c r="E19">
        <v>8</v>
      </c>
      <c r="F19" s="41" t="s">
        <v>62</v>
      </c>
      <c r="G19" s="85">
        <f>'LRMF NC Electric Z3 S'!G19*0.75</f>
        <v>3600</v>
      </c>
      <c r="H19" s="10">
        <f t="shared" si="0"/>
        <v>28800</v>
      </c>
    </row>
    <row r="20" spans="3:8" ht="30" customHeight="1" x14ac:dyDescent="0.3">
      <c r="D20" s="24" t="s">
        <v>202</v>
      </c>
      <c r="F20" s="41"/>
      <c r="G20" s="9"/>
      <c r="H20" s="10">
        <f t="shared" si="0"/>
        <v>0</v>
      </c>
    </row>
    <row r="21" spans="3:8" x14ac:dyDescent="0.3">
      <c r="D21" s="15" t="s">
        <v>68</v>
      </c>
      <c r="E21">
        <v>8</v>
      </c>
      <c r="F21" s="41" t="s">
        <v>62</v>
      </c>
      <c r="G21" s="9">
        <v>100</v>
      </c>
      <c r="H21" s="10">
        <f t="shared" si="0"/>
        <v>800</v>
      </c>
    </row>
    <row r="22" spans="3:8" x14ac:dyDescent="0.3">
      <c r="D22" s="15" t="s">
        <v>114</v>
      </c>
      <c r="E22">
        <v>800</v>
      </c>
      <c r="F22" s="41" t="s">
        <v>67</v>
      </c>
      <c r="G22" s="9">
        <v>4</v>
      </c>
      <c r="H22" s="10">
        <f t="shared" si="0"/>
        <v>3200</v>
      </c>
    </row>
    <row r="23" spans="3:8" x14ac:dyDescent="0.3">
      <c r="D23" t="s">
        <v>64</v>
      </c>
      <c r="E23">
        <v>8</v>
      </c>
      <c r="F23" s="41" t="s">
        <v>60</v>
      </c>
      <c r="G23" s="9">
        <v>400</v>
      </c>
      <c r="H23" s="10">
        <f t="shared" si="0"/>
        <v>3200</v>
      </c>
    </row>
    <row r="24" spans="3:8" x14ac:dyDescent="0.3">
      <c r="D24" t="s">
        <v>54</v>
      </c>
      <c r="E24">
        <v>96</v>
      </c>
      <c r="F24" s="41" t="s">
        <v>58</v>
      </c>
      <c r="G24" s="10">
        <f>VLOOKUP($A$4,zone_lu,4)</f>
        <v>58.866228829999997</v>
      </c>
      <c r="H24" s="10">
        <f t="shared" si="0"/>
        <v>5651.1579676799993</v>
      </c>
    </row>
    <row r="25" spans="3:8" x14ac:dyDescent="0.3">
      <c r="C25" t="s">
        <v>106</v>
      </c>
      <c r="F25" s="41"/>
      <c r="G25" s="9"/>
      <c r="H25" s="10"/>
    </row>
    <row r="26" spans="3:8" x14ac:dyDescent="0.3">
      <c r="D26" t="s">
        <v>111</v>
      </c>
      <c r="E26">
        <v>8</v>
      </c>
      <c r="F26" s="41" t="s">
        <v>62</v>
      </c>
      <c r="G26" s="9">
        <v>400</v>
      </c>
      <c r="H26" s="10">
        <f t="shared" si="0"/>
        <v>3200</v>
      </c>
    </row>
    <row r="27" spans="3:8" x14ac:dyDescent="0.3">
      <c r="C27" t="s">
        <v>128</v>
      </c>
      <c r="F27" s="41"/>
      <c r="G27" s="9"/>
      <c r="H27" s="10"/>
    </row>
    <row r="28" spans="3:8" x14ac:dyDescent="0.3">
      <c r="D28" t="s">
        <v>129</v>
      </c>
      <c r="E28">
        <v>16</v>
      </c>
      <c r="F28" s="41" t="s">
        <v>62</v>
      </c>
      <c r="G28" s="9">
        <v>65</v>
      </c>
      <c r="H28" s="10">
        <f t="shared" si="0"/>
        <v>1040</v>
      </c>
    </row>
    <row r="29" spans="3:8" x14ac:dyDescent="0.3">
      <c r="D29" t="s">
        <v>130</v>
      </c>
      <c r="F29" s="41"/>
      <c r="G29" s="9"/>
      <c r="H29" s="36" t="s">
        <v>116</v>
      </c>
    </row>
    <row r="30" spans="3:8" x14ac:dyDescent="0.3">
      <c r="D30" t="s">
        <v>131</v>
      </c>
      <c r="F30" s="41"/>
      <c r="G30" s="9"/>
      <c r="H30" s="36" t="s">
        <v>116</v>
      </c>
    </row>
    <row r="31" spans="3:8" x14ac:dyDescent="0.3">
      <c r="D31" t="s">
        <v>54</v>
      </c>
      <c r="E31">
        <f>8*6</f>
        <v>48</v>
      </c>
      <c r="F31" s="41" t="s">
        <v>58</v>
      </c>
      <c r="G31" s="10">
        <f>VLOOKUP($A$4,zone_lu,4)</f>
        <v>58.866228829999997</v>
      </c>
      <c r="H31" s="10">
        <f t="shared" si="0"/>
        <v>2825.5789838399996</v>
      </c>
    </row>
    <row r="32" spans="3:8" x14ac:dyDescent="0.3">
      <c r="C32" t="s">
        <v>118</v>
      </c>
      <c r="F32" s="41"/>
      <c r="G32" s="9"/>
      <c r="H32" s="10">
        <f t="shared" si="0"/>
        <v>0</v>
      </c>
    </row>
    <row r="33" spans="2:9" x14ac:dyDescent="0.3">
      <c r="D33" t="s">
        <v>121</v>
      </c>
      <c r="F33" s="41"/>
      <c r="G33" s="9"/>
      <c r="H33" s="36" t="s">
        <v>132</v>
      </c>
    </row>
    <row r="34" spans="2:9" x14ac:dyDescent="0.3">
      <c r="D34" t="s">
        <v>54</v>
      </c>
      <c r="F34" s="41"/>
      <c r="G34" s="9"/>
      <c r="H34" s="36" t="s">
        <v>132</v>
      </c>
    </row>
    <row r="35" spans="2:9" x14ac:dyDescent="0.3">
      <c r="E35" s="11"/>
      <c r="F35" s="42"/>
      <c r="G35" s="12"/>
      <c r="H35" s="13">
        <f>SUBTOTAL(9,H12:H34)</f>
        <v>48716.736951520004</v>
      </c>
    </row>
    <row r="36" spans="2:9" x14ac:dyDescent="0.3">
      <c r="E36" s="16"/>
      <c r="F36" s="43"/>
      <c r="G36" s="17"/>
      <c r="H36" s="18"/>
    </row>
    <row r="37" spans="2:9" x14ac:dyDescent="0.3">
      <c r="B37" s="11"/>
      <c r="C37" s="11" t="s">
        <v>71</v>
      </c>
      <c r="D37" s="11"/>
      <c r="E37" s="11"/>
      <c r="F37" s="42"/>
      <c r="G37" s="12"/>
      <c r="H37" s="13">
        <f>SUBTOTAL(9,H6:H36)</f>
        <v>48716.736951520004</v>
      </c>
    </row>
    <row r="38" spans="2:9" x14ac:dyDescent="0.3">
      <c r="F38" s="41"/>
      <c r="G38" s="9"/>
      <c r="H38" s="10">
        <f t="shared" si="0"/>
        <v>0</v>
      </c>
    </row>
    <row r="39" spans="2:9" x14ac:dyDescent="0.3">
      <c r="B39" t="s">
        <v>104</v>
      </c>
      <c r="E39" s="49">
        <f>ROUND(VLOOKUP($A$4,zone_lu,5)*0.6,2)</f>
        <v>0.09</v>
      </c>
      <c r="F39" s="41"/>
      <c r="G39" s="9"/>
      <c r="H39" s="10">
        <f>ROUND(H37*E39,0)</f>
        <v>4385</v>
      </c>
      <c r="I39" s="10">
        <f>ROUND(I37*F39,0)</f>
        <v>0</v>
      </c>
    </row>
    <row r="40" spans="2:9" x14ac:dyDescent="0.3">
      <c r="E40" s="49"/>
      <c r="F40" s="41"/>
      <c r="G40" s="9"/>
      <c r="H40" s="10"/>
      <c r="I40" s="10"/>
    </row>
    <row r="41" spans="2:9" x14ac:dyDescent="0.3">
      <c r="B41" t="s">
        <v>103</v>
      </c>
      <c r="E41" s="49">
        <f>ROUND(VLOOKUP($A$4,zone_lu,6)*0.4,2)</f>
        <v>0.04</v>
      </c>
      <c r="F41" s="41"/>
      <c r="G41" s="9"/>
      <c r="H41" s="10">
        <f>ROUND(SUM(H37:H40)*E41,0)</f>
        <v>2124</v>
      </c>
      <c r="I41" s="10"/>
    </row>
    <row r="42" spans="2:9" x14ac:dyDescent="0.3">
      <c r="E42" s="49"/>
      <c r="F42" s="41"/>
      <c r="G42" s="9"/>
      <c r="H42" s="10"/>
      <c r="I42" s="10"/>
    </row>
    <row r="43" spans="2:9" x14ac:dyDescent="0.3">
      <c r="B43" t="s">
        <v>127</v>
      </c>
      <c r="E43" s="49">
        <f>VLOOKUP($A$4,zone_lu,7)</f>
        <v>1.2500000000000001E-2</v>
      </c>
      <c r="F43" s="41"/>
      <c r="G43" s="9"/>
      <c r="H43" s="10">
        <f>ROUND(SUM(H37:H42)*E43,0)</f>
        <v>690</v>
      </c>
      <c r="I43" s="10"/>
    </row>
    <row r="44" spans="2:9" x14ac:dyDescent="0.3">
      <c r="E44" s="49"/>
      <c r="F44" s="41"/>
      <c r="G44" s="9"/>
      <c r="H44" s="10"/>
      <c r="I44" s="10"/>
    </row>
    <row r="45" spans="2:9" x14ac:dyDescent="0.3">
      <c r="B45" t="s">
        <v>105</v>
      </c>
      <c r="E45" s="49"/>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55915.736951520004</v>
      </c>
    </row>
    <row r="49" ht="15" thickTop="1" x14ac:dyDescent="0.3"/>
  </sheetData>
  <mergeCells count="1">
    <mergeCell ref="A4:C4"/>
  </mergeCells>
  <pageMargins left="0.7" right="0.7" top="0.75" bottom="0.75" header="0.3" footer="0.3"/>
  <pageSetup orientation="portrait" horizontalDpi="90" verticalDpi="9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0A8891-0AC4-4354-AC38-9A5DBFE116F0}">
  <dimension ref="A1:O49"/>
  <sheetViews>
    <sheetView showGridLines="0" zoomScale="90" zoomScaleNormal="90" workbookViewId="0">
      <selection activeCell="K5" sqref="K5"/>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O1" t="str">
        <f>A1&amp;": "&amp;A2</f>
        <v>Low Rise Multi-Family: New Construction</v>
      </c>
    </row>
    <row r="2" spans="1:15" x14ac:dyDescent="0.3">
      <c r="A2" t="s">
        <v>0</v>
      </c>
    </row>
    <row r="3" spans="1:15" x14ac:dyDescent="0.3">
      <c r="A3" t="s">
        <v>70</v>
      </c>
      <c r="F3" s="41"/>
      <c r="G3" s="9"/>
      <c r="H3" s="8"/>
    </row>
    <row r="4" spans="1:15" ht="14.4" customHeight="1" x14ac:dyDescent="0.3">
      <c r="A4" s="88">
        <v>3</v>
      </c>
      <c r="B4" s="88"/>
      <c r="C4" s="88"/>
    </row>
    <row r="6" spans="1:15" x14ac:dyDescent="0.3">
      <c r="B6" t="s">
        <v>50</v>
      </c>
      <c r="F6" s="41"/>
      <c r="G6" s="9"/>
      <c r="H6" s="8"/>
    </row>
    <row r="7" spans="1:15" x14ac:dyDescent="0.3">
      <c r="C7" t="s">
        <v>120</v>
      </c>
      <c r="F7" s="41"/>
      <c r="G7" s="9"/>
      <c r="H7" s="38" t="s">
        <v>116</v>
      </c>
    </row>
    <row r="8" spans="1:15" x14ac:dyDescent="0.3">
      <c r="D8" t="s">
        <v>54</v>
      </c>
      <c r="F8" s="41"/>
      <c r="G8" s="10"/>
      <c r="H8" s="10"/>
    </row>
    <row r="9" spans="1:15" x14ac:dyDescent="0.3">
      <c r="D9" t="s">
        <v>59</v>
      </c>
      <c r="F9" s="41"/>
      <c r="G9" s="10"/>
      <c r="H9" s="10"/>
    </row>
    <row r="10" spans="1:15" x14ac:dyDescent="0.3">
      <c r="E10" s="11"/>
      <c r="F10" s="42"/>
      <c r="G10" s="12"/>
      <c r="H10" s="13">
        <f>SUBTOTAL(9,H6:H9)</f>
        <v>0</v>
      </c>
    </row>
    <row r="11" spans="1:15" x14ac:dyDescent="0.3">
      <c r="F11" s="41"/>
      <c r="G11" s="9"/>
      <c r="H11" s="10">
        <f t="shared" ref="H11:H38" si="0">E11*G11</f>
        <v>0</v>
      </c>
    </row>
    <row r="12" spans="1:15" x14ac:dyDescent="0.3">
      <c r="B12" t="s">
        <v>51</v>
      </c>
      <c r="F12" s="41"/>
      <c r="G12" s="9"/>
      <c r="H12" s="10">
        <f t="shared" si="0"/>
        <v>0</v>
      </c>
    </row>
    <row r="13" spans="1:15" x14ac:dyDescent="0.3">
      <c r="C13" t="s">
        <v>53</v>
      </c>
      <c r="F13" s="41"/>
      <c r="G13" s="9"/>
      <c r="H13" s="39" t="s">
        <v>117</v>
      </c>
    </row>
    <row r="14" spans="1:15" x14ac:dyDescent="0.3">
      <c r="D14" t="s">
        <v>61</v>
      </c>
      <c r="F14" s="41"/>
      <c r="G14" s="28"/>
      <c r="H14" s="10"/>
    </row>
    <row r="15" spans="1:15" x14ac:dyDescent="0.3">
      <c r="D15" s="14" t="s">
        <v>73</v>
      </c>
      <c r="F15" s="41"/>
      <c r="G15" s="10"/>
      <c r="H15" s="10"/>
    </row>
    <row r="16" spans="1:15" x14ac:dyDescent="0.3">
      <c r="D16" t="s">
        <v>64</v>
      </c>
      <c r="F16" s="41"/>
      <c r="G16" s="10"/>
      <c r="H16" s="10"/>
    </row>
    <row r="17" spans="3:8" x14ac:dyDescent="0.3">
      <c r="D17" t="s">
        <v>54</v>
      </c>
      <c r="F17" s="41"/>
      <c r="G17" s="10"/>
      <c r="H17" s="10"/>
    </row>
    <row r="18" spans="3:8" x14ac:dyDescent="0.3">
      <c r="C18" t="s">
        <v>52</v>
      </c>
      <c r="F18" s="41"/>
      <c r="G18" s="9"/>
      <c r="H18" s="10">
        <f t="shared" si="0"/>
        <v>0</v>
      </c>
    </row>
    <row r="19" spans="3:8" x14ac:dyDescent="0.3">
      <c r="D19" t="s">
        <v>66</v>
      </c>
      <c r="E19">
        <v>8</v>
      </c>
      <c r="F19" s="41" t="s">
        <v>62</v>
      </c>
      <c r="G19" s="85">
        <f>'LRMF NC Electric Z3 O1'!G19*0.75</f>
        <v>3375</v>
      </c>
      <c r="H19" s="10">
        <f t="shared" si="0"/>
        <v>27000</v>
      </c>
    </row>
    <row r="20" spans="3:8" ht="43.2" x14ac:dyDescent="0.3">
      <c r="D20" s="24" t="s">
        <v>201</v>
      </c>
      <c r="F20" s="41"/>
      <c r="G20" s="9"/>
      <c r="H20" s="10">
        <f t="shared" si="0"/>
        <v>0</v>
      </c>
    </row>
    <row r="21" spans="3:8" x14ac:dyDescent="0.3">
      <c r="D21" s="15" t="s">
        <v>68</v>
      </c>
      <c r="E21">
        <v>8</v>
      </c>
      <c r="F21" s="41" t="s">
        <v>62</v>
      </c>
      <c r="G21" s="9">
        <v>100</v>
      </c>
      <c r="H21" s="10">
        <f t="shared" si="0"/>
        <v>800</v>
      </c>
    </row>
    <row r="22" spans="3:8" x14ac:dyDescent="0.3">
      <c r="D22" s="15" t="s">
        <v>114</v>
      </c>
      <c r="E22">
        <v>800</v>
      </c>
      <c r="F22" s="41" t="s">
        <v>67</v>
      </c>
      <c r="G22" s="9">
        <v>4</v>
      </c>
      <c r="H22" s="10">
        <f t="shared" si="0"/>
        <v>3200</v>
      </c>
    </row>
    <row r="23" spans="3:8" x14ac:dyDescent="0.3">
      <c r="D23" t="s">
        <v>64</v>
      </c>
      <c r="E23">
        <v>8</v>
      </c>
      <c r="F23" s="41" t="s">
        <v>60</v>
      </c>
      <c r="G23" s="9">
        <v>400</v>
      </c>
      <c r="H23" s="10">
        <f t="shared" si="0"/>
        <v>3200</v>
      </c>
    </row>
    <row r="24" spans="3:8" x14ac:dyDescent="0.3">
      <c r="D24" t="s">
        <v>54</v>
      </c>
      <c r="E24">
        <v>96</v>
      </c>
      <c r="F24" s="41" t="s">
        <v>58</v>
      </c>
      <c r="G24" s="10">
        <f>VLOOKUP($A$4,zone_lu,4)</f>
        <v>58.866228829999997</v>
      </c>
      <c r="H24" s="10">
        <f t="shared" si="0"/>
        <v>5651.1579676799993</v>
      </c>
    </row>
    <row r="25" spans="3:8" x14ac:dyDescent="0.3">
      <c r="C25" t="s">
        <v>106</v>
      </c>
      <c r="F25" s="41"/>
      <c r="G25" s="9"/>
      <c r="H25" s="10"/>
    </row>
    <row r="26" spans="3:8" x14ac:dyDescent="0.3">
      <c r="D26" t="s">
        <v>111</v>
      </c>
      <c r="E26">
        <v>8</v>
      </c>
      <c r="F26" s="41" t="s">
        <v>62</v>
      </c>
      <c r="G26" s="9">
        <v>400</v>
      </c>
      <c r="H26" s="10">
        <f t="shared" si="0"/>
        <v>3200</v>
      </c>
    </row>
    <row r="27" spans="3:8" x14ac:dyDescent="0.3">
      <c r="C27" t="s">
        <v>128</v>
      </c>
      <c r="F27" s="41"/>
      <c r="G27" s="9"/>
      <c r="H27" s="10"/>
    </row>
    <row r="28" spans="3:8" x14ac:dyDescent="0.3">
      <c r="D28" t="s">
        <v>129</v>
      </c>
      <c r="E28">
        <v>16</v>
      </c>
      <c r="F28" s="41" t="s">
        <v>62</v>
      </c>
      <c r="G28" s="9">
        <v>65</v>
      </c>
      <c r="H28" s="10">
        <f t="shared" si="0"/>
        <v>1040</v>
      </c>
    </row>
    <row r="29" spans="3:8" x14ac:dyDescent="0.3">
      <c r="D29" t="s">
        <v>130</v>
      </c>
      <c r="F29" s="41"/>
      <c r="G29" s="9"/>
      <c r="H29" s="38" t="s">
        <v>116</v>
      </c>
    </row>
    <row r="30" spans="3:8" x14ac:dyDescent="0.3">
      <c r="D30" t="s">
        <v>131</v>
      </c>
      <c r="F30" s="41"/>
      <c r="G30" s="9"/>
      <c r="H30" s="38" t="s">
        <v>116</v>
      </c>
    </row>
    <row r="31" spans="3:8" x14ac:dyDescent="0.3">
      <c r="D31" t="s">
        <v>54</v>
      </c>
      <c r="E31">
        <f>8*6</f>
        <v>48</v>
      </c>
      <c r="F31" s="41" t="s">
        <v>58</v>
      </c>
      <c r="G31" s="10">
        <f>VLOOKUP($A$4,zone_lu,4)</f>
        <v>58.866228829999997</v>
      </c>
      <c r="H31" s="10">
        <f t="shared" si="0"/>
        <v>2825.5789838399996</v>
      </c>
    </row>
    <row r="32" spans="3:8" x14ac:dyDescent="0.3">
      <c r="C32" t="s">
        <v>118</v>
      </c>
      <c r="F32" s="41"/>
      <c r="G32" s="9"/>
      <c r="H32" s="10">
        <f t="shared" si="0"/>
        <v>0</v>
      </c>
    </row>
    <row r="33" spans="2:9" x14ac:dyDescent="0.3">
      <c r="D33" t="s">
        <v>121</v>
      </c>
      <c r="F33" s="41"/>
      <c r="G33" s="9"/>
      <c r="H33" s="38" t="s">
        <v>132</v>
      </c>
    </row>
    <row r="34" spans="2:9" x14ac:dyDescent="0.3">
      <c r="D34" t="s">
        <v>54</v>
      </c>
      <c r="F34" s="41"/>
      <c r="G34" s="9"/>
      <c r="H34" s="38" t="s">
        <v>132</v>
      </c>
    </row>
    <row r="35" spans="2:9" x14ac:dyDescent="0.3">
      <c r="E35" s="11"/>
      <c r="F35" s="42"/>
      <c r="G35" s="12"/>
      <c r="H35" s="13">
        <f>SUBTOTAL(9,H12:H34)</f>
        <v>46916.736951520004</v>
      </c>
    </row>
    <row r="36" spans="2:9" x14ac:dyDescent="0.3">
      <c r="E36" s="16"/>
      <c r="F36" s="43"/>
      <c r="G36" s="17"/>
      <c r="H36" s="18"/>
    </row>
    <row r="37" spans="2:9" x14ac:dyDescent="0.3">
      <c r="B37" s="11"/>
      <c r="C37" s="11" t="s">
        <v>71</v>
      </c>
      <c r="D37" s="11"/>
      <c r="E37" s="11"/>
      <c r="F37" s="42"/>
      <c r="G37" s="12"/>
      <c r="H37" s="13">
        <f>SUBTOTAL(9,H6:H36)</f>
        <v>46916.736951520004</v>
      </c>
    </row>
    <row r="38" spans="2:9" x14ac:dyDescent="0.3">
      <c r="F38" s="41"/>
      <c r="G38" s="9"/>
      <c r="H38" s="10">
        <f t="shared" si="0"/>
        <v>0</v>
      </c>
    </row>
    <row r="39" spans="2:9" x14ac:dyDescent="0.3">
      <c r="B39" t="s">
        <v>104</v>
      </c>
      <c r="E39" s="49">
        <f>ROUND(VLOOKUP($A$4,zone_lu,5)*0.6,2)</f>
        <v>0.09</v>
      </c>
      <c r="F39" s="41"/>
      <c r="G39" s="9"/>
      <c r="H39" s="10">
        <f>ROUND(H37*E39,0)</f>
        <v>4223</v>
      </c>
      <c r="I39" s="10">
        <f>ROUND(I37*F39,0)</f>
        <v>0</v>
      </c>
    </row>
    <row r="40" spans="2:9" x14ac:dyDescent="0.3">
      <c r="E40" s="49"/>
      <c r="F40" s="41"/>
      <c r="G40" s="9"/>
      <c r="H40" s="10"/>
      <c r="I40" s="10"/>
    </row>
    <row r="41" spans="2:9" x14ac:dyDescent="0.3">
      <c r="B41" t="s">
        <v>103</v>
      </c>
      <c r="E41" s="49">
        <f>ROUND(VLOOKUP($A$4,zone_lu,6)*0.4,2)</f>
        <v>0.04</v>
      </c>
      <c r="F41" s="41"/>
      <c r="G41" s="9"/>
      <c r="H41" s="10">
        <f>ROUND(SUM(H37:H40)*E41,0)</f>
        <v>2046</v>
      </c>
      <c r="I41" s="10"/>
    </row>
    <row r="42" spans="2:9" x14ac:dyDescent="0.3">
      <c r="E42" s="49"/>
      <c r="F42" s="41"/>
      <c r="G42" s="9"/>
      <c r="H42" s="10"/>
      <c r="I42" s="10"/>
    </row>
    <row r="43" spans="2:9" x14ac:dyDescent="0.3">
      <c r="B43" t="s">
        <v>127</v>
      </c>
      <c r="E43" s="49">
        <f>VLOOKUP($A$4,zone_lu,7)</f>
        <v>1.2500000000000001E-2</v>
      </c>
      <c r="F43" s="41"/>
      <c r="G43" s="9"/>
      <c r="H43" s="10">
        <f>ROUND(SUM(H37:H42)*E43,0)</f>
        <v>665</v>
      </c>
      <c r="I43" s="10"/>
    </row>
    <row r="44" spans="2:9" x14ac:dyDescent="0.3">
      <c r="E44" s="49"/>
      <c r="F44" s="41"/>
      <c r="G44" s="9"/>
      <c r="H44" s="10"/>
      <c r="I44" s="10"/>
    </row>
    <row r="45" spans="2:9" x14ac:dyDescent="0.3">
      <c r="B45" t="s">
        <v>105</v>
      </c>
      <c r="E45" s="49"/>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53850.736951520004</v>
      </c>
    </row>
    <row r="49" ht="15" thickTop="1" x14ac:dyDescent="0.3"/>
  </sheetData>
  <mergeCells count="1">
    <mergeCell ref="A4:C4"/>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622CEE-75D1-46D1-90C0-009FA749D6B1}">
  <dimension ref="A1:O49"/>
  <sheetViews>
    <sheetView showGridLines="0" zoomScale="90" zoomScaleNormal="90" workbookViewId="0">
      <selection activeCell="G20" sqref="G20"/>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O1" t="str">
        <f>A1&amp;": "&amp;A2</f>
        <v>Low Rise Multi-Family: New Construction</v>
      </c>
    </row>
    <row r="2" spans="1:15" x14ac:dyDescent="0.3">
      <c r="A2" t="s">
        <v>0</v>
      </c>
    </row>
    <row r="3" spans="1:15" x14ac:dyDescent="0.3">
      <c r="A3" t="s">
        <v>70</v>
      </c>
      <c r="F3" s="41"/>
      <c r="G3" s="9"/>
      <c r="H3" s="8"/>
    </row>
    <row r="4" spans="1:15" ht="14.4" customHeight="1" x14ac:dyDescent="0.3">
      <c r="A4" s="88">
        <v>3</v>
      </c>
      <c r="B4" s="88"/>
      <c r="C4" s="88"/>
    </row>
    <row r="6" spans="1:15" x14ac:dyDescent="0.3">
      <c r="B6" t="s">
        <v>50</v>
      </c>
      <c r="F6" s="41"/>
      <c r="G6" s="9"/>
      <c r="H6" s="8"/>
    </row>
    <row r="7" spans="1:15" x14ac:dyDescent="0.3">
      <c r="C7" t="s">
        <v>120</v>
      </c>
      <c r="F7" s="41"/>
      <c r="G7" s="9"/>
      <c r="H7" s="38" t="s">
        <v>116</v>
      </c>
    </row>
    <row r="8" spans="1:15" x14ac:dyDescent="0.3">
      <c r="D8" t="s">
        <v>54</v>
      </c>
      <c r="F8" s="41"/>
      <c r="G8" s="10"/>
      <c r="H8" s="10"/>
    </row>
    <row r="9" spans="1:15" x14ac:dyDescent="0.3">
      <c r="D9" t="s">
        <v>59</v>
      </c>
      <c r="F9" s="41"/>
      <c r="G9" s="10"/>
      <c r="H9" s="10"/>
    </row>
    <row r="10" spans="1:15" x14ac:dyDescent="0.3">
      <c r="E10" s="11"/>
      <c r="F10" s="42"/>
      <c r="G10" s="12"/>
      <c r="H10" s="13">
        <f>SUBTOTAL(9,H6:H9)</f>
        <v>0</v>
      </c>
    </row>
    <row r="11" spans="1:15" x14ac:dyDescent="0.3">
      <c r="F11" s="41"/>
      <c r="G11" s="9"/>
      <c r="H11" s="10">
        <f t="shared" ref="H11:H38" si="0">E11*G11</f>
        <v>0</v>
      </c>
    </row>
    <row r="12" spans="1:15" x14ac:dyDescent="0.3">
      <c r="B12" t="s">
        <v>51</v>
      </c>
      <c r="F12" s="41"/>
      <c r="G12" s="9"/>
      <c r="H12" s="10">
        <f t="shared" si="0"/>
        <v>0</v>
      </c>
    </row>
    <row r="13" spans="1:15" x14ac:dyDescent="0.3">
      <c r="C13" t="s">
        <v>53</v>
      </c>
      <c r="F13" s="41"/>
      <c r="G13" s="9"/>
      <c r="H13" s="39" t="s">
        <v>117</v>
      </c>
    </row>
    <row r="14" spans="1:15" x14ac:dyDescent="0.3">
      <c r="D14" t="s">
        <v>61</v>
      </c>
      <c r="F14" s="41"/>
      <c r="G14" s="28"/>
      <c r="H14" s="10"/>
    </row>
    <row r="15" spans="1:15" x14ac:dyDescent="0.3">
      <c r="D15" s="14" t="s">
        <v>73</v>
      </c>
      <c r="F15" s="41"/>
      <c r="G15" s="10"/>
      <c r="H15" s="10"/>
    </row>
    <row r="16" spans="1:15" x14ac:dyDescent="0.3">
      <c r="D16" t="s">
        <v>64</v>
      </c>
      <c r="F16" s="41"/>
      <c r="G16" s="10"/>
      <c r="H16" s="10"/>
    </row>
    <row r="17" spans="3:8" x14ac:dyDescent="0.3">
      <c r="D17" t="s">
        <v>54</v>
      </c>
      <c r="F17" s="41"/>
      <c r="G17" s="10"/>
      <c r="H17" s="10"/>
    </row>
    <row r="18" spans="3:8" x14ac:dyDescent="0.3">
      <c r="C18" t="s">
        <v>52</v>
      </c>
      <c r="F18" s="41"/>
      <c r="G18" s="9"/>
      <c r="H18" s="10">
        <f t="shared" si="0"/>
        <v>0</v>
      </c>
    </row>
    <row r="19" spans="3:8" x14ac:dyDescent="0.3">
      <c r="D19" t="s">
        <v>66</v>
      </c>
      <c r="E19">
        <v>8</v>
      </c>
      <c r="F19" s="41" t="s">
        <v>62</v>
      </c>
      <c r="G19" s="85">
        <f>'LRMF NC Electric Z3 O2'!G19*0.75</f>
        <v>4875</v>
      </c>
      <c r="H19" s="10">
        <f t="shared" si="0"/>
        <v>39000</v>
      </c>
    </row>
    <row r="20" spans="3:8" ht="43.2" x14ac:dyDescent="0.3">
      <c r="D20" s="24" t="s">
        <v>200</v>
      </c>
      <c r="F20" s="41"/>
      <c r="G20" s="9"/>
      <c r="H20" s="10">
        <f t="shared" si="0"/>
        <v>0</v>
      </c>
    </row>
    <row r="21" spans="3:8" x14ac:dyDescent="0.3">
      <c r="D21" s="15" t="s">
        <v>68</v>
      </c>
      <c r="E21">
        <v>8</v>
      </c>
      <c r="F21" s="41" t="s">
        <v>62</v>
      </c>
      <c r="G21" s="9">
        <v>100</v>
      </c>
      <c r="H21" s="10">
        <f t="shared" si="0"/>
        <v>800</v>
      </c>
    </row>
    <row r="22" spans="3:8" x14ac:dyDescent="0.3">
      <c r="D22" s="15" t="s">
        <v>114</v>
      </c>
      <c r="E22">
        <v>800</v>
      </c>
      <c r="F22" s="41" t="s">
        <v>67</v>
      </c>
      <c r="G22" s="9">
        <v>4</v>
      </c>
      <c r="H22" s="10">
        <f t="shared" si="0"/>
        <v>3200</v>
      </c>
    </row>
    <row r="23" spans="3:8" x14ac:dyDescent="0.3">
      <c r="D23" t="s">
        <v>64</v>
      </c>
      <c r="E23">
        <v>8</v>
      </c>
      <c r="F23" s="41" t="s">
        <v>60</v>
      </c>
      <c r="G23" s="9">
        <v>400</v>
      </c>
      <c r="H23" s="10">
        <f t="shared" si="0"/>
        <v>3200</v>
      </c>
    </row>
    <row r="24" spans="3:8" x14ac:dyDescent="0.3">
      <c r="D24" t="s">
        <v>54</v>
      </c>
      <c r="E24">
        <v>96</v>
      </c>
      <c r="F24" s="41" t="s">
        <v>58</v>
      </c>
      <c r="G24" s="10">
        <f>VLOOKUP($A$4,zone_lu,4)</f>
        <v>58.866228829999997</v>
      </c>
      <c r="H24" s="10">
        <f t="shared" si="0"/>
        <v>5651.1579676799993</v>
      </c>
    </row>
    <row r="25" spans="3:8" x14ac:dyDescent="0.3">
      <c r="C25" t="s">
        <v>106</v>
      </c>
      <c r="F25" s="41"/>
      <c r="G25" s="9"/>
      <c r="H25" s="10"/>
    </row>
    <row r="26" spans="3:8" x14ac:dyDescent="0.3">
      <c r="D26" t="s">
        <v>111</v>
      </c>
      <c r="E26">
        <v>8</v>
      </c>
      <c r="F26" s="41" t="s">
        <v>62</v>
      </c>
      <c r="G26" s="9">
        <v>400</v>
      </c>
      <c r="H26" s="10">
        <f t="shared" si="0"/>
        <v>3200</v>
      </c>
    </row>
    <row r="27" spans="3:8" x14ac:dyDescent="0.3">
      <c r="C27" t="s">
        <v>128</v>
      </c>
      <c r="F27" s="41"/>
      <c r="G27" s="9"/>
      <c r="H27" s="10"/>
    </row>
    <row r="28" spans="3:8" x14ac:dyDescent="0.3">
      <c r="D28" t="s">
        <v>129</v>
      </c>
      <c r="E28">
        <v>16</v>
      </c>
      <c r="F28" s="41" t="s">
        <v>62</v>
      </c>
      <c r="G28" s="9">
        <v>65</v>
      </c>
      <c r="H28" s="10">
        <f t="shared" si="0"/>
        <v>1040</v>
      </c>
    </row>
    <row r="29" spans="3:8" x14ac:dyDescent="0.3">
      <c r="D29" t="s">
        <v>130</v>
      </c>
      <c r="F29" s="41"/>
      <c r="G29" s="9"/>
      <c r="H29" s="38" t="s">
        <v>116</v>
      </c>
    </row>
    <row r="30" spans="3:8" x14ac:dyDescent="0.3">
      <c r="D30" t="s">
        <v>131</v>
      </c>
      <c r="F30" s="41"/>
      <c r="G30" s="9"/>
      <c r="H30" s="38" t="s">
        <v>116</v>
      </c>
    </row>
    <row r="31" spans="3:8" x14ac:dyDescent="0.3">
      <c r="D31" t="s">
        <v>54</v>
      </c>
      <c r="E31">
        <f>8*6</f>
        <v>48</v>
      </c>
      <c r="F31" s="41" t="s">
        <v>58</v>
      </c>
      <c r="G31" s="10">
        <f>VLOOKUP($A$4,zone_lu,4)</f>
        <v>58.866228829999997</v>
      </c>
      <c r="H31" s="10">
        <f t="shared" si="0"/>
        <v>2825.5789838399996</v>
      </c>
    </row>
    <row r="32" spans="3:8" x14ac:dyDescent="0.3">
      <c r="C32" t="s">
        <v>118</v>
      </c>
      <c r="F32" s="41"/>
      <c r="G32" s="9"/>
      <c r="H32" s="10">
        <f t="shared" si="0"/>
        <v>0</v>
      </c>
    </row>
    <row r="33" spans="2:9" x14ac:dyDescent="0.3">
      <c r="D33" t="s">
        <v>121</v>
      </c>
      <c r="F33" s="41"/>
      <c r="G33" s="9"/>
      <c r="H33" s="38" t="s">
        <v>132</v>
      </c>
    </row>
    <row r="34" spans="2:9" x14ac:dyDescent="0.3">
      <c r="D34" t="s">
        <v>54</v>
      </c>
      <c r="F34" s="41"/>
      <c r="G34" s="9"/>
      <c r="H34" s="38" t="s">
        <v>132</v>
      </c>
    </row>
    <row r="35" spans="2:9" x14ac:dyDescent="0.3">
      <c r="E35" s="11"/>
      <c r="F35" s="42"/>
      <c r="G35" s="12"/>
      <c r="H35" s="13">
        <f>SUBTOTAL(9,H12:H34)</f>
        <v>58916.736951520004</v>
      </c>
    </row>
    <row r="36" spans="2:9" x14ac:dyDescent="0.3">
      <c r="E36" s="16"/>
      <c r="F36" s="43"/>
      <c r="G36" s="17"/>
      <c r="H36" s="18"/>
    </row>
    <row r="37" spans="2:9" x14ac:dyDescent="0.3">
      <c r="B37" s="11"/>
      <c r="C37" s="11" t="s">
        <v>71</v>
      </c>
      <c r="D37" s="11"/>
      <c r="E37" s="11"/>
      <c r="F37" s="42"/>
      <c r="G37" s="12"/>
      <c r="H37" s="13">
        <f>SUBTOTAL(9,H6:H36)</f>
        <v>58916.736951520004</v>
      </c>
    </row>
    <row r="38" spans="2:9" x14ac:dyDescent="0.3">
      <c r="F38" s="41"/>
      <c r="G38" s="9"/>
      <c r="H38" s="10">
        <f t="shared" si="0"/>
        <v>0</v>
      </c>
    </row>
    <row r="39" spans="2:9" x14ac:dyDescent="0.3">
      <c r="B39" t="s">
        <v>104</v>
      </c>
      <c r="E39" s="49">
        <f>ROUND(VLOOKUP($A$4,zone_lu,5)*0.6,2)</f>
        <v>0.09</v>
      </c>
      <c r="F39" s="41"/>
      <c r="G39" s="9"/>
      <c r="H39" s="10">
        <f>ROUND(H37*E39,0)</f>
        <v>5303</v>
      </c>
      <c r="I39" s="10">
        <f>ROUND(I37*F39,0)</f>
        <v>0</v>
      </c>
    </row>
    <row r="40" spans="2:9" x14ac:dyDescent="0.3">
      <c r="E40" s="49"/>
      <c r="F40" s="41"/>
      <c r="G40" s="9"/>
      <c r="H40" s="10"/>
      <c r="I40" s="10"/>
    </row>
    <row r="41" spans="2:9" x14ac:dyDescent="0.3">
      <c r="B41" t="s">
        <v>103</v>
      </c>
      <c r="E41" s="49">
        <f>ROUND(VLOOKUP($A$4,zone_lu,6)*0.4,2)</f>
        <v>0.04</v>
      </c>
      <c r="F41" s="41"/>
      <c r="G41" s="9"/>
      <c r="H41" s="10">
        <f>ROUND(SUM(H37:H40)*E41,0)</f>
        <v>2569</v>
      </c>
      <c r="I41" s="10"/>
    </row>
    <row r="42" spans="2:9" x14ac:dyDescent="0.3">
      <c r="E42" s="49"/>
      <c r="F42" s="41"/>
      <c r="G42" s="9"/>
      <c r="H42" s="10"/>
      <c r="I42" s="10"/>
    </row>
    <row r="43" spans="2:9" x14ac:dyDescent="0.3">
      <c r="B43" t="s">
        <v>127</v>
      </c>
      <c r="E43" s="49">
        <f>VLOOKUP($A$4,zone_lu,7)</f>
        <v>1.2500000000000001E-2</v>
      </c>
      <c r="F43" s="41"/>
      <c r="G43" s="9"/>
      <c r="H43" s="10">
        <f>ROUND(SUM(H37:H42)*E43,0)</f>
        <v>835</v>
      </c>
      <c r="I43" s="10"/>
    </row>
    <row r="44" spans="2:9" x14ac:dyDescent="0.3">
      <c r="E44" s="49"/>
      <c r="F44" s="41"/>
      <c r="G44" s="9"/>
      <c r="H44" s="10"/>
      <c r="I44" s="10"/>
    </row>
    <row r="45" spans="2:9" x14ac:dyDescent="0.3">
      <c r="B45" t="s">
        <v>105</v>
      </c>
      <c r="E45" s="49"/>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67623.736951519997</v>
      </c>
    </row>
    <row r="49" ht="15" thickTop="1" x14ac:dyDescent="0.3"/>
  </sheetData>
  <mergeCells count="1">
    <mergeCell ref="A4:C4"/>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2F653-2DB1-4C1B-B00A-251354CE57A9}">
  <dimension ref="A1:O49"/>
  <sheetViews>
    <sheetView showGridLines="0" topLeftCell="A13" zoomScale="90" zoomScaleNormal="90" workbookViewId="0">
      <selection activeCell="M29" sqref="M2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New Construction</v>
      </c>
    </row>
    <row r="2" spans="1:15" x14ac:dyDescent="0.3">
      <c r="A2" t="s">
        <v>0</v>
      </c>
    </row>
    <row r="3" spans="1:15" x14ac:dyDescent="0.3">
      <c r="A3" t="s">
        <v>70</v>
      </c>
    </row>
    <row r="4" spans="1:15" ht="14.4" customHeight="1" x14ac:dyDescent="0.3">
      <c r="A4" s="88">
        <v>6</v>
      </c>
      <c r="B4" s="88"/>
      <c r="C4" s="88"/>
    </row>
    <row r="6" spans="1:15" x14ac:dyDescent="0.3">
      <c r="B6" t="s">
        <v>50</v>
      </c>
      <c r="F6" s="41"/>
      <c r="G6" s="9"/>
      <c r="H6" s="8"/>
    </row>
    <row r="7" spans="1:15" x14ac:dyDescent="0.3">
      <c r="C7" t="s">
        <v>120</v>
      </c>
      <c r="F7" s="41"/>
      <c r="G7" s="9"/>
      <c r="H7" s="38" t="s">
        <v>116</v>
      </c>
    </row>
    <row r="8" spans="1:15" x14ac:dyDescent="0.3">
      <c r="D8" t="s">
        <v>54</v>
      </c>
      <c r="E8">
        <v>32</v>
      </c>
      <c r="F8" s="41"/>
      <c r="G8" s="9"/>
      <c r="H8" s="10"/>
    </row>
    <row r="9" spans="1:15" x14ac:dyDescent="0.3">
      <c r="D9" t="s">
        <v>59</v>
      </c>
      <c r="F9" s="41"/>
      <c r="G9" s="9"/>
      <c r="H9" s="10"/>
    </row>
    <row r="10" spans="1:15" x14ac:dyDescent="0.3">
      <c r="E10" s="11"/>
      <c r="F10" s="42"/>
      <c r="G10" s="12"/>
      <c r="H10" s="13">
        <f>SUBTOTAL(9,H6:H9)</f>
        <v>0</v>
      </c>
    </row>
    <row r="11" spans="1:15" x14ac:dyDescent="0.3">
      <c r="F11" s="41"/>
      <c r="G11" s="9"/>
      <c r="H11" s="10">
        <f t="shared" ref="H11:H38" si="0">E11*G11</f>
        <v>0</v>
      </c>
    </row>
    <row r="12" spans="1:15" x14ac:dyDescent="0.3">
      <c r="B12" t="s">
        <v>51</v>
      </c>
      <c r="F12" s="41"/>
      <c r="G12" s="9"/>
      <c r="H12" s="10">
        <f t="shared" si="0"/>
        <v>0</v>
      </c>
    </row>
    <row r="13" spans="1:15" x14ac:dyDescent="0.3">
      <c r="C13" t="s">
        <v>53</v>
      </c>
      <c r="F13" s="41"/>
      <c r="G13" s="9"/>
      <c r="H13" s="39" t="s">
        <v>117</v>
      </c>
    </row>
    <row r="14" spans="1:15" x14ac:dyDescent="0.3">
      <c r="D14" t="s">
        <v>61</v>
      </c>
      <c r="F14" s="41"/>
      <c r="G14" s="29"/>
      <c r="H14" s="10"/>
    </row>
    <row r="15" spans="1:15" x14ac:dyDescent="0.3">
      <c r="D15" s="14" t="s">
        <v>73</v>
      </c>
      <c r="F15" s="41"/>
      <c r="G15" s="29"/>
      <c r="H15" s="10"/>
    </row>
    <row r="16" spans="1:15" x14ac:dyDescent="0.3">
      <c r="D16" t="s">
        <v>64</v>
      </c>
      <c r="F16" s="41"/>
      <c r="G16" s="29"/>
      <c r="H16" s="10"/>
    </row>
    <row r="17" spans="3:8" x14ac:dyDescent="0.3">
      <c r="D17" t="s">
        <v>54</v>
      </c>
      <c r="F17" s="41"/>
      <c r="G17" s="9"/>
      <c r="H17" s="10"/>
    </row>
    <row r="18" spans="3:8" x14ac:dyDescent="0.3">
      <c r="C18" t="s">
        <v>52</v>
      </c>
      <c r="F18" s="41"/>
      <c r="G18" s="9"/>
      <c r="H18" s="10">
        <f t="shared" si="0"/>
        <v>0</v>
      </c>
    </row>
    <row r="19" spans="3:8" x14ac:dyDescent="0.3">
      <c r="D19" t="s">
        <v>66</v>
      </c>
      <c r="E19">
        <v>8</v>
      </c>
      <c r="F19" s="41" t="s">
        <v>62</v>
      </c>
      <c r="G19" s="85">
        <f>'LRMF NC Electric Z6'!G19*0.75</f>
        <v>3300</v>
      </c>
      <c r="H19" s="10">
        <f t="shared" si="0"/>
        <v>26400</v>
      </c>
    </row>
    <row r="20" spans="3:8" ht="30" customHeight="1" x14ac:dyDescent="0.3">
      <c r="D20" s="24" t="s">
        <v>199</v>
      </c>
      <c r="F20" s="41"/>
      <c r="G20" s="9"/>
      <c r="H20" s="10">
        <f t="shared" si="0"/>
        <v>0</v>
      </c>
    </row>
    <row r="21" spans="3:8" x14ac:dyDescent="0.3">
      <c r="D21" s="15" t="s">
        <v>68</v>
      </c>
      <c r="E21">
        <v>8</v>
      </c>
      <c r="F21" s="41" t="s">
        <v>62</v>
      </c>
      <c r="G21" s="9">
        <v>100</v>
      </c>
      <c r="H21" s="10">
        <f t="shared" si="0"/>
        <v>800</v>
      </c>
    </row>
    <row r="22" spans="3:8" x14ac:dyDescent="0.3">
      <c r="D22" s="15" t="s">
        <v>114</v>
      </c>
      <c r="E22">
        <v>800</v>
      </c>
      <c r="F22" s="41" t="s">
        <v>67</v>
      </c>
      <c r="G22" s="9">
        <v>4</v>
      </c>
      <c r="H22" s="10">
        <f t="shared" si="0"/>
        <v>3200</v>
      </c>
    </row>
    <row r="23" spans="3:8" x14ac:dyDescent="0.3">
      <c r="D23" t="s">
        <v>64</v>
      </c>
      <c r="E23">
        <v>8</v>
      </c>
      <c r="F23" s="41" t="s">
        <v>60</v>
      </c>
      <c r="G23" s="9">
        <v>400</v>
      </c>
      <c r="H23" s="10">
        <f t="shared" si="0"/>
        <v>3200</v>
      </c>
    </row>
    <row r="24" spans="3:8" x14ac:dyDescent="0.3">
      <c r="D24" t="s">
        <v>54</v>
      </c>
      <c r="E24">
        <v>96</v>
      </c>
      <c r="F24" s="41" t="s">
        <v>58</v>
      </c>
      <c r="G24" s="9">
        <f>VLOOKUP($A$4,zone_lu,4)</f>
        <v>58.866228829999997</v>
      </c>
      <c r="H24" s="10">
        <f t="shared" si="0"/>
        <v>5651.1579676799993</v>
      </c>
    </row>
    <row r="25" spans="3:8" x14ac:dyDescent="0.3">
      <c r="C25" t="s">
        <v>106</v>
      </c>
      <c r="F25" s="41"/>
      <c r="G25" s="9"/>
      <c r="H25" s="10"/>
    </row>
    <row r="26" spans="3:8" x14ac:dyDescent="0.3">
      <c r="D26" t="s">
        <v>111</v>
      </c>
      <c r="E26">
        <v>8</v>
      </c>
      <c r="F26" s="41" t="s">
        <v>62</v>
      </c>
      <c r="G26" s="9">
        <v>400</v>
      </c>
      <c r="H26" s="10">
        <f t="shared" si="0"/>
        <v>3200</v>
      </c>
    </row>
    <row r="27" spans="3:8" x14ac:dyDescent="0.3">
      <c r="C27" t="s">
        <v>128</v>
      </c>
      <c r="F27" s="41"/>
      <c r="G27" s="9"/>
      <c r="H27" s="10"/>
    </row>
    <row r="28" spans="3:8" x14ac:dyDescent="0.3">
      <c r="D28" t="s">
        <v>129</v>
      </c>
      <c r="E28">
        <v>16</v>
      </c>
      <c r="F28" s="41" t="s">
        <v>62</v>
      </c>
      <c r="G28" s="9">
        <v>65</v>
      </c>
      <c r="H28" s="10">
        <f t="shared" si="0"/>
        <v>1040</v>
      </c>
    </row>
    <row r="29" spans="3:8" x14ac:dyDescent="0.3">
      <c r="D29" t="s">
        <v>130</v>
      </c>
      <c r="F29" s="41"/>
      <c r="G29" s="9"/>
      <c r="H29" s="38" t="s">
        <v>116</v>
      </c>
    </row>
    <row r="30" spans="3:8" x14ac:dyDescent="0.3">
      <c r="D30" t="s">
        <v>131</v>
      </c>
      <c r="F30" s="41"/>
      <c r="G30" s="9"/>
      <c r="H30" s="38" t="s">
        <v>116</v>
      </c>
    </row>
    <row r="31" spans="3:8" x14ac:dyDescent="0.3">
      <c r="D31" t="s">
        <v>54</v>
      </c>
      <c r="E31">
        <f>8*6</f>
        <v>48</v>
      </c>
      <c r="F31" s="41" t="s">
        <v>58</v>
      </c>
      <c r="G31" s="9">
        <f>VLOOKUP($A$4,zone_lu,4)</f>
        <v>58.866228829999997</v>
      </c>
      <c r="H31" s="10">
        <f t="shared" si="0"/>
        <v>2825.5789838399996</v>
      </c>
    </row>
    <row r="32" spans="3:8" x14ac:dyDescent="0.3">
      <c r="C32" t="s">
        <v>118</v>
      </c>
      <c r="F32" s="41"/>
      <c r="G32" s="9"/>
      <c r="H32" s="10">
        <f t="shared" si="0"/>
        <v>0</v>
      </c>
    </row>
    <row r="33" spans="2:9" x14ac:dyDescent="0.3">
      <c r="D33" t="s">
        <v>121</v>
      </c>
      <c r="F33" s="41"/>
      <c r="G33" s="9"/>
      <c r="H33" s="38" t="s">
        <v>132</v>
      </c>
    </row>
    <row r="34" spans="2:9" x14ac:dyDescent="0.3">
      <c r="D34" t="s">
        <v>54</v>
      </c>
      <c r="F34" s="41"/>
      <c r="G34" s="9"/>
      <c r="H34" s="38" t="s">
        <v>132</v>
      </c>
    </row>
    <row r="35" spans="2:9" x14ac:dyDescent="0.3">
      <c r="E35" s="11"/>
      <c r="F35" s="42"/>
      <c r="G35" s="12"/>
      <c r="H35" s="13">
        <f>SUBTOTAL(9,H12:H34)</f>
        <v>46316.736951520004</v>
      </c>
    </row>
    <row r="36" spans="2:9" x14ac:dyDescent="0.3">
      <c r="E36" s="16"/>
      <c r="F36" s="43"/>
      <c r="G36" s="17"/>
      <c r="H36" s="18"/>
    </row>
    <row r="37" spans="2:9" x14ac:dyDescent="0.3">
      <c r="B37" s="11"/>
      <c r="C37" s="11" t="s">
        <v>71</v>
      </c>
      <c r="D37" s="11"/>
      <c r="E37" s="11"/>
      <c r="F37" s="42"/>
      <c r="G37" s="12"/>
      <c r="H37" s="13">
        <f>SUBTOTAL(9,H6:H36)</f>
        <v>46316.736951520004</v>
      </c>
    </row>
    <row r="38" spans="2:9" x14ac:dyDescent="0.3">
      <c r="F38" s="41"/>
      <c r="G38" s="9"/>
      <c r="H38" s="10">
        <f t="shared" si="0"/>
        <v>0</v>
      </c>
    </row>
    <row r="39" spans="2:9" x14ac:dyDescent="0.3">
      <c r="B39" t="s">
        <v>104</v>
      </c>
      <c r="E39" s="49">
        <f>ROUND(VLOOKUP($A$4,zone_lu,5)*0.6,2)</f>
        <v>0.09</v>
      </c>
      <c r="F39" s="41"/>
      <c r="G39" s="9"/>
      <c r="H39" s="10">
        <f>ROUND(H37*E39,0)</f>
        <v>4169</v>
      </c>
      <c r="I39" s="10">
        <f>ROUND(I37*F39,0)</f>
        <v>0</v>
      </c>
    </row>
    <row r="40" spans="2:9" x14ac:dyDescent="0.3">
      <c r="E40" s="49"/>
      <c r="F40" s="41"/>
      <c r="G40" s="9"/>
      <c r="H40" s="10"/>
      <c r="I40" s="10"/>
    </row>
    <row r="41" spans="2:9" x14ac:dyDescent="0.3">
      <c r="B41" t="s">
        <v>103</v>
      </c>
      <c r="E41" s="49">
        <f>ROUND(VLOOKUP($A$4,zone_lu,6)*0.4,2)</f>
        <v>0.04</v>
      </c>
      <c r="F41" s="41"/>
      <c r="G41" s="9"/>
      <c r="H41" s="10">
        <f>ROUND(SUM(H37:H40)*E41,0)</f>
        <v>2019</v>
      </c>
      <c r="I41" s="10"/>
    </row>
    <row r="42" spans="2:9" x14ac:dyDescent="0.3">
      <c r="E42" s="49"/>
      <c r="F42" s="41"/>
      <c r="G42" s="9"/>
      <c r="H42" s="10"/>
      <c r="I42" s="10"/>
    </row>
    <row r="43" spans="2:9" x14ac:dyDescent="0.3">
      <c r="B43" t="s">
        <v>127</v>
      </c>
      <c r="E43" s="49">
        <f>VLOOKUP($A$4,zone_lu,7)</f>
        <v>1.2500000000000001E-2</v>
      </c>
      <c r="F43" s="41"/>
      <c r="G43" s="9"/>
      <c r="H43" s="10">
        <f>ROUND(SUM(H37:H42)*E43,0)</f>
        <v>656</v>
      </c>
      <c r="I43" s="10"/>
    </row>
    <row r="44" spans="2:9" x14ac:dyDescent="0.3">
      <c r="E44" s="49"/>
      <c r="F44" s="41"/>
      <c r="G44" s="9"/>
      <c r="H44" s="10"/>
      <c r="I44" s="10"/>
    </row>
    <row r="45" spans="2:9" x14ac:dyDescent="0.3">
      <c r="B45" t="s">
        <v>105</v>
      </c>
      <c r="E45" s="49"/>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53160.736951520004</v>
      </c>
    </row>
    <row r="49" ht="15" thickTop="1" x14ac:dyDescent="0.3"/>
  </sheetData>
  <mergeCells count="1">
    <mergeCell ref="A4:C4"/>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96143-9E6E-4FE9-8B60-A46C0BD1148B}">
  <dimension ref="A1:O49"/>
  <sheetViews>
    <sheetView showGridLines="0" topLeftCell="A7" zoomScale="90" zoomScaleNormal="90" workbookViewId="0">
      <selection activeCell="G20" sqref="G20"/>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New Construction</v>
      </c>
    </row>
    <row r="2" spans="1:15" x14ac:dyDescent="0.3">
      <c r="A2" t="s">
        <v>0</v>
      </c>
    </row>
    <row r="3" spans="1:15" x14ac:dyDescent="0.3">
      <c r="A3" t="s">
        <v>70</v>
      </c>
    </row>
    <row r="4" spans="1:15" ht="14.4" customHeight="1" x14ac:dyDescent="0.3">
      <c r="A4" s="88">
        <v>6</v>
      </c>
      <c r="B4" s="88"/>
      <c r="C4" s="88"/>
    </row>
    <row r="6" spans="1:15" x14ac:dyDescent="0.3">
      <c r="B6" t="s">
        <v>50</v>
      </c>
      <c r="F6" s="41"/>
      <c r="G6" s="9"/>
      <c r="H6" s="8"/>
    </row>
    <row r="7" spans="1:15" x14ac:dyDescent="0.3">
      <c r="C7" t="s">
        <v>120</v>
      </c>
      <c r="F7" s="41"/>
      <c r="G7" s="9"/>
      <c r="H7" s="38" t="s">
        <v>116</v>
      </c>
    </row>
    <row r="8" spans="1:15" x14ac:dyDescent="0.3">
      <c r="D8" t="s">
        <v>54</v>
      </c>
      <c r="E8">
        <v>32</v>
      </c>
      <c r="F8" s="41"/>
      <c r="G8" s="9"/>
      <c r="H8" s="10"/>
    </row>
    <row r="9" spans="1:15" x14ac:dyDescent="0.3">
      <c r="D9" t="s">
        <v>59</v>
      </c>
      <c r="F9" s="41"/>
      <c r="G9" s="9"/>
      <c r="H9" s="10"/>
    </row>
    <row r="10" spans="1:15" x14ac:dyDescent="0.3">
      <c r="E10" s="11"/>
      <c r="F10" s="42"/>
      <c r="G10" s="12"/>
      <c r="H10" s="13">
        <f>SUBTOTAL(9,H6:H9)</f>
        <v>0</v>
      </c>
    </row>
    <row r="11" spans="1:15" x14ac:dyDescent="0.3">
      <c r="F11" s="41"/>
      <c r="G11" s="9"/>
      <c r="H11" s="10">
        <f t="shared" ref="H11:H38" si="0">E11*G11</f>
        <v>0</v>
      </c>
    </row>
    <row r="12" spans="1:15" x14ac:dyDescent="0.3">
      <c r="B12" t="s">
        <v>51</v>
      </c>
      <c r="F12" s="41"/>
      <c r="G12" s="9"/>
      <c r="H12" s="10">
        <f t="shared" si="0"/>
        <v>0</v>
      </c>
    </row>
    <row r="13" spans="1:15" x14ac:dyDescent="0.3">
      <c r="C13" t="s">
        <v>53</v>
      </c>
      <c r="F13" s="41"/>
      <c r="G13" s="9"/>
      <c r="H13" s="39" t="s">
        <v>117</v>
      </c>
    </row>
    <row r="14" spans="1:15" x14ac:dyDescent="0.3">
      <c r="D14" t="s">
        <v>61</v>
      </c>
      <c r="F14" s="41"/>
      <c r="G14" s="29"/>
      <c r="H14" s="10"/>
    </row>
    <row r="15" spans="1:15" x14ac:dyDescent="0.3">
      <c r="D15" s="14" t="s">
        <v>73</v>
      </c>
      <c r="F15" s="41"/>
      <c r="G15" s="29"/>
      <c r="H15" s="10"/>
    </row>
    <row r="16" spans="1:15" x14ac:dyDescent="0.3">
      <c r="D16" t="s">
        <v>64</v>
      </c>
      <c r="F16" s="41"/>
      <c r="G16" s="29"/>
      <c r="H16" s="10"/>
    </row>
    <row r="17" spans="3:8" x14ac:dyDescent="0.3">
      <c r="D17" t="s">
        <v>54</v>
      </c>
      <c r="F17" s="41"/>
      <c r="G17" s="9"/>
      <c r="H17" s="10"/>
    </row>
    <row r="18" spans="3:8" x14ac:dyDescent="0.3">
      <c r="C18" t="s">
        <v>52</v>
      </c>
      <c r="F18" s="41"/>
      <c r="G18" s="9"/>
      <c r="H18" s="10">
        <f t="shared" si="0"/>
        <v>0</v>
      </c>
    </row>
    <row r="19" spans="3:8" x14ac:dyDescent="0.3">
      <c r="D19" t="s">
        <v>66</v>
      </c>
      <c r="E19">
        <v>8</v>
      </c>
      <c r="F19" s="41" t="s">
        <v>62</v>
      </c>
      <c r="G19" s="85">
        <f>'LRMF NC Electric Z6 O2'!G19*0.75</f>
        <v>4468.75</v>
      </c>
      <c r="H19" s="10">
        <f t="shared" si="0"/>
        <v>35750</v>
      </c>
    </row>
    <row r="20" spans="3:8" ht="30" customHeight="1" x14ac:dyDescent="0.3">
      <c r="D20" s="24" t="s">
        <v>198</v>
      </c>
      <c r="F20" s="41"/>
      <c r="G20" s="9"/>
      <c r="H20" s="10">
        <f t="shared" si="0"/>
        <v>0</v>
      </c>
    </row>
    <row r="21" spans="3:8" x14ac:dyDescent="0.3">
      <c r="D21" s="15" t="s">
        <v>68</v>
      </c>
      <c r="E21">
        <v>8</v>
      </c>
      <c r="F21" s="41" t="s">
        <v>62</v>
      </c>
      <c r="G21" s="9">
        <v>100</v>
      </c>
      <c r="H21" s="10">
        <f t="shared" si="0"/>
        <v>800</v>
      </c>
    </row>
    <row r="22" spans="3:8" x14ac:dyDescent="0.3">
      <c r="D22" s="15" t="s">
        <v>114</v>
      </c>
      <c r="E22">
        <v>800</v>
      </c>
      <c r="F22" s="41" t="s">
        <v>67</v>
      </c>
      <c r="G22" s="9">
        <v>4</v>
      </c>
      <c r="H22" s="10">
        <f t="shared" si="0"/>
        <v>3200</v>
      </c>
    </row>
    <row r="23" spans="3:8" x14ac:dyDescent="0.3">
      <c r="D23" t="s">
        <v>64</v>
      </c>
      <c r="E23">
        <v>8</v>
      </c>
      <c r="F23" s="41" t="s">
        <v>60</v>
      </c>
      <c r="G23" s="9">
        <v>400</v>
      </c>
      <c r="H23" s="10">
        <f t="shared" si="0"/>
        <v>3200</v>
      </c>
    </row>
    <row r="24" spans="3:8" x14ac:dyDescent="0.3">
      <c r="D24" t="s">
        <v>54</v>
      </c>
      <c r="E24">
        <v>96</v>
      </c>
      <c r="F24" s="41" t="s">
        <v>58</v>
      </c>
      <c r="G24" s="9">
        <f>VLOOKUP($A$4,zone_lu,4)</f>
        <v>58.866228829999997</v>
      </c>
      <c r="H24" s="10">
        <f t="shared" si="0"/>
        <v>5651.1579676799993</v>
      </c>
    </row>
    <row r="25" spans="3:8" x14ac:dyDescent="0.3">
      <c r="C25" t="s">
        <v>106</v>
      </c>
      <c r="F25" s="41"/>
      <c r="G25" s="9"/>
      <c r="H25" s="10"/>
    </row>
    <row r="26" spans="3:8" x14ac:dyDescent="0.3">
      <c r="D26" t="s">
        <v>111</v>
      </c>
      <c r="E26">
        <v>8</v>
      </c>
      <c r="F26" s="41" t="s">
        <v>62</v>
      </c>
      <c r="G26" s="9">
        <v>400</v>
      </c>
      <c r="H26" s="10">
        <f t="shared" si="0"/>
        <v>3200</v>
      </c>
    </row>
    <row r="27" spans="3:8" x14ac:dyDescent="0.3">
      <c r="C27" t="s">
        <v>128</v>
      </c>
      <c r="F27" s="41"/>
      <c r="G27" s="9"/>
      <c r="H27" s="10"/>
    </row>
    <row r="28" spans="3:8" x14ac:dyDescent="0.3">
      <c r="D28" t="s">
        <v>129</v>
      </c>
      <c r="E28">
        <v>16</v>
      </c>
      <c r="F28" s="41" t="s">
        <v>62</v>
      </c>
      <c r="G28" s="9">
        <v>65</v>
      </c>
      <c r="H28" s="10">
        <f t="shared" si="0"/>
        <v>1040</v>
      </c>
    </row>
    <row r="29" spans="3:8" x14ac:dyDescent="0.3">
      <c r="D29" t="s">
        <v>130</v>
      </c>
      <c r="F29" s="41"/>
      <c r="G29" s="9"/>
      <c r="H29" s="38" t="s">
        <v>116</v>
      </c>
    </row>
    <row r="30" spans="3:8" x14ac:dyDescent="0.3">
      <c r="D30" t="s">
        <v>131</v>
      </c>
      <c r="F30" s="41"/>
      <c r="G30" s="9"/>
      <c r="H30" s="38" t="s">
        <v>116</v>
      </c>
    </row>
    <row r="31" spans="3:8" x14ac:dyDescent="0.3">
      <c r="D31" t="s">
        <v>54</v>
      </c>
      <c r="E31">
        <f>8*6</f>
        <v>48</v>
      </c>
      <c r="F31" s="41" t="s">
        <v>58</v>
      </c>
      <c r="G31" s="9">
        <f>VLOOKUP($A$4,zone_lu,4)</f>
        <v>58.866228829999997</v>
      </c>
      <c r="H31" s="10">
        <f t="shared" si="0"/>
        <v>2825.5789838399996</v>
      </c>
    </row>
    <row r="32" spans="3:8" x14ac:dyDescent="0.3">
      <c r="C32" t="s">
        <v>118</v>
      </c>
      <c r="F32" s="41"/>
      <c r="G32" s="9"/>
      <c r="H32" s="10">
        <f t="shared" si="0"/>
        <v>0</v>
      </c>
    </row>
    <row r="33" spans="2:9" x14ac:dyDescent="0.3">
      <c r="D33" t="s">
        <v>121</v>
      </c>
      <c r="F33" s="41"/>
      <c r="G33" s="9"/>
      <c r="H33" s="38" t="s">
        <v>132</v>
      </c>
    </row>
    <row r="34" spans="2:9" x14ac:dyDescent="0.3">
      <c r="D34" t="s">
        <v>54</v>
      </c>
      <c r="F34" s="41"/>
      <c r="G34" s="9"/>
      <c r="H34" s="38" t="s">
        <v>132</v>
      </c>
    </row>
    <row r="35" spans="2:9" x14ac:dyDescent="0.3">
      <c r="E35" s="11"/>
      <c r="F35" s="42"/>
      <c r="G35" s="12"/>
      <c r="H35" s="13">
        <f>SUBTOTAL(9,H12:H34)</f>
        <v>55666.736951520004</v>
      </c>
    </row>
    <row r="36" spans="2:9" x14ac:dyDescent="0.3">
      <c r="E36" s="16"/>
      <c r="F36" s="43"/>
      <c r="G36" s="17"/>
      <c r="H36" s="18"/>
    </row>
    <row r="37" spans="2:9" x14ac:dyDescent="0.3">
      <c r="B37" s="11"/>
      <c r="C37" s="11" t="s">
        <v>71</v>
      </c>
      <c r="D37" s="11"/>
      <c r="E37" s="11"/>
      <c r="F37" s="42"/>
      <c r="G37" s="12"/>
      <c r="H37" s="13">
        <f>SUBTOTAL(9,H6:H36)</f>
        <v>55666.736951520004</v>
      </c>
    </row>
    <row r="38" spans="2:9" x14ac:dyDescent="0.3">
      <c r="F38" s="41"/>
      <c r="G38" s="9"/>
      <c r="H38" s="10">
        <f t="shared" si="0"/>
        <v>0</v>
      </c>
    </row>
    <row r="39" spans="2:9" x14ac:dyDescent="0.3">
      <c r="B39" t="s">
        <v>104</v>
      </c>
      <c r="E39" s="49">
        <f>ROUND(VLOOKUP($A$4,zone_lu,5)*0.6,2)</f>
        <v>0.09</v>
      </c>
      <c r="F39" s="41"/>
      <c r="G39" s="9"/>
      <c r="H39" s="10">
        <f>ROUND(H37*E39,0)</f>
        <v>5010</v>
      </c>
      <c r="I39" s="10">
        <f>ROUND(I37*F39,0)</f>
        <v>0</v>
      </c>
    </row>
    <row r="40" spans="2:9" x14ac:dyDescent="0.3">
      <c r="E40" s="49"/>
      <c r="F40" s="41"/>
      <c r="G40" s="9"/>
      <c r="H40" s="10"/>
      <c r="I40" s="10"/>
    </row>
    <row r="41" spans="2:9" x14ac:dyDescent="0.3">
      <c r="B41" t="s">
        <v>103</v>
      </c>
      <c r="E41" s="49">
        <f>ROUND(VLOOKUP($A$4,zone_lu,6)*0.4,2)</f>
        <v>0.04</v>
      </c>
      <c r="F41" s="41"/>
      <c r="G41" s="9"/>
      <c r="H41" s="10">
        <f>ROUND(SUM(H37:H40)*E41,0)</f>
        <v>2427</v>
      </c>
      <c r="I41" s="10"/>
    </row>
    <row r="42" spans="2:9" x14ac:dyDescent="0.3">
      <c r="E42" s="49"/>
      <c r="F42" s="41"/>
      <c r="G42" s="9"/>
      <c r="H42" s="10"/>
      <c r="I42" s="10"/>
    </row>
    <row r="43" spans="2:9" x14ac:dyDescent="0.3">
      <c r="B43" t="s">
        <v>127</v>
      </c>
      <c r="E43" s="49">
        <f>VLOOKUP($A$4,zone_lu,7)</f>
        <v>1.2500000000000001E-2</v>
      </c>
      <c r="F43" s="41"/>
      <c r="G43" s="9"/>
      <c r="H43" s="10">
        <f>ROUND(SUM(H37:H42)*E43,0)</f>
        <v>789</v>
      </c>
      <c r="I43" s="10"/>
    </row>
    <row r="44" spans="2:9" x14ac:dyDescent="0.3">
      <c r="E44" s="49"/>
      <c r="F44" s="41"/>
      <c r="G44" s="9"/>
      <c r="H44" s="10"/>
      <c r="I44" s="10"/>
    </row>
    <row r="45" spans="2:9" x14ac:dyDescent="0.3">
      <c r="B45" t="s">
        <v>105</v>
      </c>
      <c r="E45" s="49"/>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63892.736951520004</v>
      </c>
    </row>
    <row r="49" ht="15" thickTop="1" x14ac:dyDescent="0.3"/>
  </sheetData>
  <mergeCells count="1">
    <mergeCell ref="A4:C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33E0C-36D9-401D-98F2-709ED7E9ABBB}">
  <sheetPr>
    <tabColor theme="7" tint="0.79998168889431442"/>
  </sheetPr>
  <dimension ref="A1:Q49"/>
  <sheetViews>
    <sheetView showGridLines="0" zoomScale="90" zoomScaleNormal="90" workbookViewId="0">
      <pane xSplit="5" ySplit="7" topLeftCell="F14" activePane="bottomRight" state="frozen"/>
      <selection activeCell="H33" sqref="H33:H34"/>
      <selection pane="topRight" activeCell="H33" sqref="H33:H34"/>
      <selection pane="bottomLeft" activeCell="H33" sqref="H33:H34"/>
      <selection pane="bottomRight" activeCell="J27" sqref="J27"/>
    </sheetView>
  </sheetViews>
  <sheetFormatPr defaultRowHeight="14.4" x14ac:dyDescent="0.3"/>
  <cols>
    <col min="1" max="3" width="3.6640625" customWidth="1"/>
    <col min="4" max="4" width="34.33203125" bestFit="1" customWidth="1"/>
    <col min="5" max="5" width="9" customWidth="1"/>
    <col min="6" max="6" width="7.109375" customWidth="1"/>
    <col min="8" max="8" width="9.109375" bestFit="1" customWidth="1"/>
  </cols>
  <sheetData>
    <row r="1" spans="1:17" x14ac:dyDescent="0.3">
      <c r="A1" t="s">
        <v>1</v>
      </c>
      <c r="F1" s="59"/>
    </row>
    <row r="2" spans="1:17" x14ac:dyDescent="0.3">
      <c r="A2" t="s">
        <v>0</v>
      </c>
      <c r="F2" t="s">
        <v>176</v>
      </c>
      <c r="H2" s="62"/>
      <c r="I2" t="s">
        <v>177</v>
      </c>
      <c r="K2" s="62"/>
      <c r="L2" t="s">
        <v>178</v>
      </c>
      <c r="N2" s="62"/>
      <c r="O2" t="s">
        <v>179</v>
      </c>
      <c r="Q2" s="62"/>
    </row>
    <row r="3" spans="1:17" ht="15" customHeight="1" x14ac:dyDescent="0.3">
      <c r="A3" t="s">
        <v>49</v>
      </c>
      <c r="F3" s="86" t="s">
        <v>168</v>
      </c>
      <c r="G3" s="86"/>
      <c r="H3" s="87"/>
      <c r="I3" s="86" t="s">
        <v>168</v>
      </c>
      <c r="J3" s="86"/>
      <c r="K3" s="87"/>
      <c r="L3" s="86" t="s">
        <v>168</v>
      </c>
      <c r="M3" s="86"/>
      <c r="N3" s="87"/>
      <c r="O3" s="86" t="s">
        <v>169</v>
      </c>
      <c r="P3" s="86"/>
      <c r="Q3" s="87"/>
    </row>
    <row r="4" spans="1:17" ht="14.4" customHeight="1" x14ac:dyDescent="0.3">
      <c r="A4" s="88"/>
      <c r="B4" s="88"/>
      <c r="C4" s="88"/>
      <c r="E4" s="62"/>
      <c r="F4" s="89" t="s">
        <v>18</v>
      </c>
      <c r="G4" s="86"/>
      <c r="H4" s="87"/>
      <c r="I4" s="89" t="s">
        <v>80</v>
      </c>
      <c r="J4" s="86"/>
      <c r="K4" s="87"/>
      <c r="L4" s="89" t="s">
        <v>65</v>
      </c>
      <c r="M4" s="86"/>
      <c r="N4" s="87"/>
      <c r="O4" s="89" t="s">
        <v>75</v>
      </c>
      <c r="P4" s="86"/>
      <c r="Q4" s="87"/>
    </row>
    <row r="5" spans="1:17" x14ac:dyDescent="0.3">
      <c r="E5" s="62"/>
      <c r="F5" s="89"/>
      <c r="G5" s="86"/>
      <c r="H5" s="87"/>
      <c r="I5" s="89"/>
      <c r="J5" s="86"/>
      <c r="K5" s="87"/>
      <c r="L5" s="89"/>
      <c r="M5" s="86"/>
      <c r="N5" s="87"/>
      <c r="O5" s="89"/>
      <c r="P5" s="86"/>
      <c r="Q5" s="87"/>
    </row>
    <row r="6" spans="1:17" x14ac:dyDescent="0.3">
      <c r="F6" s="89"/>
      <c r="G6" s="86"/>
      <c r="H6" s="87"/>
      <c r="I6" s="89"/>
      <c r="J6" s="86"/>
      <c r="K6" s="87"/>
      <c r="L6" s="89"/>
      <c r="M6" s="86"/>
      <c r="N6" s="87"/>
      <c r="O6" s="89"/>
      <c r="P6" s="86"/>
      <c r="Q6" s="87"/>
    </row>
    <row r="7" spans="1:17" x14ac:dyDescent="0.3">
      <c r="B7" t="s">
        <v>50</v>
      </c>
      <c r="E7" s="62"/>
      <c r="F7" s="89"/>
      <c r="G7" s="86"/>
      <c r="H7" s="87"/>
      <c r="I7" s="89"/>
      <c r="J7" s="86"/>
      <c r="K7" s="87"/>
      <c r="L7" s="89"/>
      <c r="M7" s="86"/>
      <c r="N7" s="87"/>
      <c r="O7" s="89"/>
      <c r="P7" s="86"/>
      <c r="Q7" s="87"/>
    </row>
    <row r="8" spans="1:17" x14ac:dyDescent="0.3">
      <c r="C8" t="s">
        <v>120</v>
      </c>
      <c r="E8" s="62"/>
      <c r="F8" s="9" t="s">
        <v>165</v>
      </c>
      <c r="G8" s="9" t="s">
        <v>165</v>
      </c>
      <c r="H8" s="61" t="s">
        <v>165</v>
      </c>
      <c r="I8" s="9" t="s">
        <v>165</v>
      </c>
      <c r="J8" s="9" t="s">
        <v>165</v>
      </c>
      <c r="K8" s="61" t="s">
        <v>165</v>
      </c>
      <c r="L8" s="9" t="s">
        <v>165</v>
      </c>
      <c r="M8" s="9" t="s">
        <v>165</v>
      </c>
      <c r="N8" s="61" t="s">
        <v>165</v>
      </c>
      <c r="O8" s="9" t="s">
        <v>165</v>
      </c>
      <c r="P8" s="9" t="s">
        <v>165</v>
      </c>
      <c r="Q8" s="61" t="s">
        <v>165</v>
      </c>
    </row>
    <row r="9" spans="1:17" x14ac:dyDescent="0.3">
      <c r="D9" t="s">
        <v>54</v>
      </c>
      <c r="E9" s="62" t="s">
        <v>58</v>
      </c>
      <c r="F9" s="9" t="s">
        <v>165</v>
      </c>
      <c r="G9" s="9" t="s">
        <v>165</v>
      </c>
      <c r="H9" s="61" t="s">
        <v>165</v>
      </c>
      <c r="I9" s="9" t="s">
        <v>165</v>
      </c>
      <c r="J9" s="9" t="s">
        <v>165</v>
      </c>
      <c r="K9" s="61" t="s">
        <v>165</v>
      </c>
      <c r="L9" s="9" t="s">
        <v>165</v>
      </c>
      <c r="M9" s="9" t="s">
        <v>165</v>
      </c>
      <c r="N9" s="61" t="s">
        <v>165</v>
      </c>
      <c r="O9" s="9" t="s">
        <v>165</v>
      </c>
      <c r="P9" s="9" t="s">
        <v>165</v>
      </c>
      <c r="Q9" s="61" t="s">
        <v>165</v>
      </c>
    </row>
    <row r="10" spans="1:17" x14ac:dyDescent="0.3">
      <c r="D10" t="s">
        <v>59</v>
      </c>
      <c r="E10" s="62" t="s">
        <v>60</v>
      </c>
      <c r="H10" s="61" t="s">
        <v>165</v>
      </c>
      <c r="K10" s="61" t="s">
        <v>165</v>
      </c>
      <c r="N10" s="61" t="s">
        <v>165</v>
      </c>
      <c r="Q10" s="61" t="s">
        <v>165</v>
      </c>
    </row>
    <row r="11" spans="1:17" x14ac:dyDescent="0.3">
      <c r="E11" s="62"/>
      <c r="H11" s="62"/>
      <c r="K11" s="62"/>
      <c r="N11" s="62"/>
      <c r="Q11" s="62"/>
    </row>
    <row r="12" spans="1:17" x14ac:dyDescent="0.3">
      <c r="B12" t="s">
        <v>51</v>
      </c>
      <c r="E12" s="62"/>
      <c r="F12" s="41"/>
      <c r="G12" s="9"/>
      <c r="H12" s="61">
        <v>0</v>
      </c>
      <c r="I12" s="41"/>
      <c r="J12" s="9"/>
      <c r="K12" s="61">
        <v>0</v>
      </c>
      <c r="L12" s="41"/>
      <c r="M12" s="9"/>
      <c r="N12" s="61">
        <v>0</v>
      </c>
      <c r="O12" s="41"/>
      <c r="P12" s="9"/>
      <c r="Q12" s="61">
        <v>0</v>
      </c>
    </row>
    <row r="13" spans="1:17" x14ac:dyDescent="0.3">
      <c r="C13" t="s">
        <v>53</v>
      </c>
      <c r="E13" s="62"/>
      <c r="F13" s="41"/>
      <c r="G13" s="9"/>
      <c r="H13" s="63"/>
      <c r="I13" s="41"/>
      <c r="J13" s="9"/>
      <c r="K13" s="63"/>
      <c r="L13" s="41"/>
      <c r="M13" s="9"/>
      <c r="N13" s="63"/>
      <c r="O13" s="41"/>
      <c r="P13" s="9"/>
      <c r="Q13" s="63"/>
    </row>
    <row r="14" spans="1:17" x14ac:dyDescent="0.3">
      <c r="D14" t="s">
        <v>61</v>
      </c>
      <c r="E14" s="62" t="s">
        <v>62</v>
      </c>
      <c r="F14" s="76">
        <v>8</v>
      </c>
      <c r="G14" s="64">
        <v>1380</v>
      </c>
      <c r="H14" s="67">
        <v>11040</v>
      </c>
      <c r="I14" s="76">
        <v>8</v>
      </c>
      <c r="J14" s="64">
        <v>1380</v>
      </c>
      <c r="K14" s="67">
        <v>11040</v>
      </c>
      <c r="L14" s="76">
        <v>8</v>
      </c>
      <c r="M14" s="64">
        <v>1380</v>
      </c>
      <c r="N14" s="67">
        <v>11040</v>
      </c>
      <c r="O14" s="76">
        <v>8</v>
      </c>
      <c r="P14" s="64">
        <v>1609.9999999999998</v>
      </c>
      <c r="Q14" s="67">
        <v>12879.999999999998</v>
      </c>
    </row>
    <row r="15" spans="1:17" x14ac:dyDescent="0.3">
      <c r="D15" s="14" t="s">
        <v>166</v>
      </c>
      <c r="E15" s="62" t="s">
        <v>165</v>
      </c>
      <c r="G15" s="9"/>
      <c r="H15" s="61"/>
      <c r="J15" s="9"/>
      <c r="K15" s="61"/>
      <c r="M15" s="9"/>
      <c r="N15" s="61"/>
      <c r="P15" s="9"/>
      <c r="Q15" s="61"/>
    </row>
    <row r="16" spans="1:17" x14ac:dyDescent="0.3">
      <c r="D16" t="s">
        <v>64</v>
      </c>
      <c r="E16" s="62" t="s">
        <v>60</v>
      </c>
      <c r="F16" s="76">
        <v>8</v>
      </c>
      <c r="G16" s="64">
        <v>287.5</v>
      </c>
      <c r="H16" s="67">
        <v>2300</v>
      </c>
      <c r="I16" s="76">
        <v>8</v>
      </c>
      <c r="J16" s="64">
        <v>287.5</v>
      </c>
      <c r="K16" s="67">
        <v>2300</v>
      </c>
      <c r="L16" s="76">
        <v>8</v>
      </c>
      <c r="M16" s="64">
        <v>287.5</v>
      </c>
      <c r="N16" s="67">
        <v>2300</v>
      </c>
      <c r="O16" s="76">
        <v>8</v>
      </c>
      <c r="P16" s="64">
        <v>287.5</v>
      </c>
      <c r="Q16" s="67">
        <v>2300</v>
      </c>
    </row>
    <row r="17" spans="3:17" x14ac:dyDescent="0.3">
      <c r="D17" t="s">
        <v>54</v>
      </c>
      <c r="E17" s="62" t="s">
        <v>58</v>
      </c>
      <c r="F17" s="64">
        <v>110.39999999999999</v>
      </c>
      <c r="G17" s="64">
        <v>58.866228829999997</v>
      </c>
      <c r="H17" s="67">
        <v>6498.831662831999</v>
      </c>
      <c r="I17" s="64">
        <v>110.39999999999999</v>
      </c>
      <c r="J17" s="64">
        <v>58.866228829999997</v>
      </c>
      <c r="K17" s="67">
        <v>6498.831662831999</v>
      </c>
      <c r="L17" s="64">
        <v>110.39999999999999</v>
      </c>
      <c r="M17" s="64">
        <v>58.866228829999997</v>
      </c>
      <c r="N17" s="67">
        <v>6498.831662831999</v>
      </c>
      <c r="O17" s="64">
        <v>110.39999999999999</v>
      </c>
      <c r="P17" s="64">
        <v>58.866228829999997</v>
      </c>
      <c r="Q17" s="67">
        <v>6498.831662831999</v>
      </c>
    </row>
    <row r="18" spans="3:17" x14ac:dyDescent="0.3">
      <c r="C18" t="s">
        <v>52</v>
      </c>
      <c r="E18" s="62" t="s">
        <v>165</v>
      </c>
      <c r="F18" t="s">
        <v>165</v>
      </c>
      <c r="G18" s="9" t="s">
        <v>165</v>
      </c>
      <c r="H18" s="61"/>
      <c r="I18" t="s">
        <v>165</v>
      </c>
      <c r="J18" s="9" t="s">
        <v>165</v>
      </c>
      <c r="K18" s="61"/>
      <c r="L18" t="s">
        <v>165</v>
      </c>
      <c r="M18" s="9" t="s">
        <v>165</v>
      </c>
      <c r="N18" s="61"/>
      <c r="O18" t="s">
        <v>165</v>
      </c>
      <c r="P18" s="9" t="s">
        <v>165</v>
      </c>
      <c r="Q18" s="61"/>
    </row>
    <row r="19" spans="3:17" x14ac:dyDescent="0.3">
      <c r="D19" t="s">
        <v>66</v>
      </c>
      <c r="E19" s="62" t="s">
        <v>165</v>
      </c>
      <c r="F19" t="s">
        <v>165</v>
      </c>
      <c r="G19" s="9" t="s">
        <v>165</v>
      </c>
      <c r="H19" s="61" t="s">
        <v>165</v>
      </c>
      <c r="I19">
        <v>8</v>
      </c>
      <c r="J19" s="9">
        <v>2700</v>
      </c>
      <c r="K19" s="61">
        <v>21600</v>
      </c>
      <c r="L19">
        <v>8</v>
      </c>
      <c r="M19" s="9">
        <v>3500</v>
      </c>
      <c r="N19" s="61">
        <v>28000</v>
      </c>
      <c r="O19">
        <v>8</v>
      </c>
      <c r="P19" s="9">
        <v>3800</v>
      </c>
      <c r="Q19" s="61">
        <v>30400</v>
      </c>
    </row>
    <row r="20" spans="3:17" x14ac:dyDescent="0.3">
      <c r="D20" s="14" t="s">
        <v>75</v>
      </c>
      <c r="E20" s="62" t="s">
        <v>165</v>
      </c>
      <c r="F20" t="s">
        <v>165</v>
      </c>
      <c r="G20" s="9" t="s">
        <v>165</v>
      </c>
      <c r="H20" s="61" t="s">
        <v>165</v>
      </c>
      <c r="I20" t="s">
        <v>165</v>
      </c>
      <c r="J20" s="9" t="s">
        <v>165</v>
      </c>
      <c r="K20" s="61" t="s">
        <v>165</v>
      </c>
      <c r="L20" t="s">
        <v>165</v>
      </c>
      <c r="M20" s="9" t="s">
        <v>165</v>
      </c>
      <c r="N20" s="61" t="s">
        <v>165</v>
      </c>
      <c r="O20" t="s">
        <v>165</v>
      </c>
      <c r="P20" s="9" t="s">
        <v>165</v>
      </c>
      <c r="Q20" s="61" t="s">
        <v>165</v>
      </c>
    </row>
    <row r="21" spans="3:17" x14ac:dyDescent="0.3">
      <c r="D21" t="s">
        <v>68</v>
      </c>
      <c r="E21" s="62" t="s">
        <v>165</v>
      </c>
      <c r="F21" t="s">
        <v>165</v>
      </c>
      <c r="G21" s="9" t="s">
        <v>165</v>
      </c>
      <c r="H21" s="61" t="s">
        <v>165</v>
      </c>
      <c r="I21">
        <v>8</v>
      </c>
      <c r="J21" s="9">
        <v>100</v>
      </c>
      <c r="K21" s="61">
        <v>800</v>
      </c>
      <c r="L21">
        <v>8</v>
      </c>
      <c r="M21" s="9">
        <v>100</v>
      </c>
      <c r="N21" s="61">
        <v>800</v>
      </c>
      <c r="O21">
        <v>8</v>
      </c>
      <c r="P21" s="9">
        <v>100</v>
      </c>
      <c r="Q21" s="61">
        <v>800</v>
      </c>
    </row>
    <row r="22" spans="3:17" x14ac:dyDescent="0.3">
      <c r="D22" t="s">
        <v>114</v>
      </c>
      <c r="E22" s="62" t="s">
        <v>165</v>
      </c>
      <c r="F22" t="s">
        <v>165</v>
      </c>
      <c r="G22" s="9" t="s">
        <v>165</v>
      </c>
      <c r="H22" s="61" t="s">
        <v>165</v>
      </c>
      <c r="I22">
        <v>800</v>
      </c>
      <c r="J22" s="9">
        <v>4</v>
      </c>
      <c r="K22" s="61">
        <v>3200</v>
      </c>
      <c r="L22">
        <v>800</v>
      </c>
      <c r="M22" s="9">
        <v>4</v>
      </c>
      <c r="N22" s="61">
        <v>3200</v>
      </c>
      <c r="O22">
        <v>800</v>
      </c>
      <c r="P22" s="9">
        <v>4</v>
      </c>
      <c r="Q22" s="61">
        <v>3200</v>
      </c>
    </row>
    <row r="23" spans="3:17" x14ac:dyDescent="0.3">
      <c r="D23" t="s">
        <v>64</v>
      </c>
      <c r="E23" s="62" t="s">
        <v>165</v>
      </c>
      <c r="F23" t="s">
        <v>165</v>
      </c>
      <c r="G23" s="9" t="s">
        <v>165</v>
      </c>
      <c r="H23" s="61" t="s">
        <v>165</v>
      </c>
      <c r="I23">
        <v>8</v>
      </c>
      <c r="J23" s="9">
        <v>400</v>
      </c>
      <c r="K23" s="61">
        <v>3200</v>
      </c>
      <c r="L23">
        <v>8</v>
      </c>
      <c r="M23" s="9">
        <v>400</v>
      </c>
      <c r="N23" s="61">
        <v>3200</v>
      </c>
      <c r="O23">
        <v>8</v>
      </c>
      <c r="P23" s="9">
        <v>400</v>
      </c>
      <c r="Q23" s="61">
        <v>3200</v>
      </c>
    </row>
    <row r="24" spans="3:17" x14ac:dyDescent="0.3">
      <c r="D24" t="s">
        <v>54</v>
      </c>
      <c r="E24" s="62" t="s">
        <v>165</v>
      </c>
      <c r="F24" t="s">
        <v>165</v>
      </c>
      <c r="G24" s="10" t="s">
        <v>165</v>
      </c>
      <c r="H24" s="61" t="s">
        <v>165</v>
      </c>
      <c r="I24">
        <v>96</v>
      </c>
      <c r="J24" s="10">
        <v>58.866228829999997</v>
      </c>
      <c r="K24" s="61">
        <v>5651.1579676799993</v>
      </c>
      <c r="L24">
        <v>96</v>
      </c>
      <c r="M24" s="10">
        <v>58.866228829999997</v>
      </c>
      <c r="N24" s="61">
        <v>5651.1579676799993</v>
      </c>
      <c r="O24">
        <v>96</v>
      </c>
      <c r="P24" s="10">
        <v>58.866228829999997</v>
      </c>
      <c r="Q24" s="61">
        <v>5651.1579676799993</v>
      </c>
    </row>
    <row r="25" spans="3:17" x14ac:dyDescent="0.3">
      <c r="C25" t="s">
        <v>106</v>
      </c>
      <c r="E25" s="62" t="s">
        <v>165</v>
      </c>
      <c r="F25" t="s">
        <v>165</v>
      </c>
      <c r="G25" s="9" t="s">
        <v>165</v>
      </c>
      <c r="H25" s="61" t="s">
        <v>165</v>
      </c>
      <c r="I25" t="s">
        <v>165</v>
      </c>
      <c r="J25" s="9" t="s">
        <v>165</v>
      </c>
      <c r="K25" s="61" t="s">
        <v>165</v>
      </c>
      <c r="L25" t="s">
        <v>165</v>
      </c>
      <c r="M25" s="9" t="s">
        <v>165</v>
      </c>
      <c r="N25" s="61" t="s">
        <v>165</v>
      </c>
      <c r="O25" t="s">
        <v>165</v>
      </c>
      <c r="P25" s="9" t="s">
        <v>165</v>
      </c>
      <c r="Q25" s="61" t="s">
        <v>165</v>
      </c>
    </row>
    <row r="26" spans="3:17" x14ac:dyDescent="0.3">
      <c r="D26" t="s">
        <v>111</v>
      </c>
      <c r="E26" s="62" t="s">
        <v>62</v>
      </c>
      <c r="F26">
        <v>8</v>
      </c>
      <c r="G26" s="9">
        <v>400</v>
      </c>
      <c r="H26" s="61">
        <v>3200</v>
      </c>
      <c r="I26">
        <v>8</v>
      </c>
      <c r="J26" s="9">
        <v>400</v>
      </c>
      <c r="K26" s="61">
        <v>3200</v>
      </c>
      <c r="L26">
        <v>8</v>
      </c>
      <c r="M26" s="9">
        <v>400</v>
      </c>
      <c r="N26" s="61">
        <v>3200</v>
      </c>
      <c r="O26">
        <v>8</v>
      </c>
      <c r="P26" s="9">
        <v>400</v>
      </c>
      <c r="Q26" s="61">
        <v>3200</v>
      </c>
    </row>
    <row r="27" spans="3:17" x14ac:dyDescent="0.3">
      <c r="C27" t="s">
        <v>128</v>
      </c>
      <c r="E27" s="62" t="s">
        <v>165</v>
      </c>
      <c r="F27" t="s">
        <v>165</v>
      </c>
      <c r="G27" s="9" t="s">
        <v>165</v>
      </c>
      <c r="H27" s="61" t="s">
        <v>165</v>
      </c>
      <c r="I27" t="s">
        <v>165</v>
      </c>
      <c r="J27" s="9" t="s">
        <v>165</v>
      </c>
      <c r="K27" s="61" t="s">
        <v>165</v>
      </c>
      <c r="L27" t="s">
        <v>165</v>
      </c>
      <c r="M27" s="9" t="s">
        <v>165</v>
      </c>
      <c r="N27" s="61" t="s">
        <v>165</v>
      </c>
      <c r="O27" t="s">
        <v>165</v>
      </c>
      <c r="P27" s="9" t="s">
        <v>165</v>
      </c>
      <c r="Q27" s="61" t="s">
        <v>165</v>
      </c>
    </row>
    <row r="28" spans="3:17" x14ac:dyDescent="0.3">
      <c r="D28" t="s">
        <v>129</v>
      </c>
      <c r="E28" s="62" t="s">
        <v>62</v>
      </c>
      <c r="F28">
        <v>8</v>
      </c>
      <c r="G28" s="9">
        <v>75</v>
      </c>
      <c r="H28" s="61">
        <v>600</v>
      </c>
      <c r="I28">
        <v>16</v>
      </c>
      <c r="J28" s="9">
        <v>75</v>
      </c>
      <c r="K28" s="61">
        <v>1200</v>
      </c>
      <c r="L28">
        <v>16</v>
      </c>
      <c r="M28" s="9">
        <v>75</v>
      </c>
      <c r="N28" s="61">
        <v>1200</v>
      </c>
      <c r="O28">
        <v>16</v>
      </c>
      <c r="P28" s="9">
        <v>75</v>
      </c>
      <c r="Q28" s="61">
        <v>1200</v>
      </c>
    </row>
    <row r="29" spans="3:17" x14ac:dyDescent="0.3">
      <c r="D29" t="s">
        <v>130</v>
      </c>
      <c r="E29" s="62" t="s">
        <v>165</v>
      </c>
      <c r="G29" s="9"/>
      <c r="H29" s="69" t="s">
        <v>112</v>
      </c>
      <c r="J29" s="9"/>
      <c r="K29" s="69" t="s">
        <v>112</v>
      </c>
      <c r="M29" s="9"/>
      <c r="N29" s="69" t="s">
        <v>112</v>
      </c>
      <c r="P29" s="9"/>
      <c r="Q29" s="69" t="s">
        <v>112</v>
      </c>
    </row>
    <row r="30" spans="3:17" x14ac:dyDescent="0.3">
      <c r="D30" t="s">
        <v>131</v>
      </c>
      <c r="E30" s="62" t="s">
        <v>67</v>
      </c>
      <c r="F30">
        <v>240</v>
      </c>
      <c r="G30" s="9">
        <v>3</v>
      </c>
      <c r="H30" s="69">
        <v>720</v>
      </c>
      <c r="I30">
        <v>240</v>
      </c>
      <c r="J30" s="9">
        <v>3</v>
      </c>
      <c r="K30" s="69">
        <v>720</v>
      </c>
      <c r="L30">
        <v>240</v>
      </c>
      <c r="M30" s="9">
        <v>3</v>
      </c>
      <c r="N30" s="69">
        <v>720</v>
      </c>
      <c r="O30">
        <v>240</v>
      </c>
      <c r="P30" s="9">
        <v>3</v>
      </c>
      <c r="Q30" s="69">
        <v>720</v>
      </c>
    </row>
    <row r="31" spans="3:17" x14ac:dyDescent="0.3">
      <c r="D31" t="s">
        <v>54</v>
      </c>
      <c r="E31" s="62" t="s">
        <v>58</v>
      </c>
      <c r="F31">
        <v>96</v>
      </c>
      <c r="G31" s="10">
        <v>58.866228829999997</v>
      </c>
      <c r="H31" s="61">
        <v>5651.1579676799993</v>
      </c>
      <c r="I31">
        <v>96</v>
      </c>
      <c r="J31" s="10">
        <v>58.866228829999997</v>
      </c>
      <c r="K31" s="61">
        <v>5651.1579676799993</v>
      </c>
      <c r="L31">
        <v>96</v>
      </c>
      <c r="M31" s="10">
        <v>58.866228829999997</v>
      </c>
      <c r="N31" s="61">
        <v>5651.1579676799993</v>
      </c>
      <c r="O31">
        <v>96</v>
      </c>
      <c r="P31" s="10">
        <v>58.866228829999997</v>
      </c>
      <c r="Q31" s="61">
        <v>5651.1579676799993</v>
      </c>
    </row>
    <row r="32" spans="3:17" x14ac:dyDescent="0.3">
      <c r="C32" t="s">
        <v>118</v>
      </c>
      <c r="E32" s="62" t="s">
        <v>165</v>
      </c>
      <c r="F32" t="s">
        <v>165</v>
      </c>
      <c r="G32" s="9" t="s">
        <v>165</v>
      </c>
      <c r="H32" s="61" t="s">
        <v>165</v>
      </c>
      <c r="I32" t="s">
        <v>165</v>
      </c>
      <c r="J32" s="9" t="s">
        <v>165</v>
      </c>
      <c r="K32" s="61" t="s">
        <v>165</v>
      </c>
      <c r="L32" t="s">
        <v>165</v>
      </c>
      <c r="M32" s="9" t="s">
        <v>165</v>
      </c>
      <c r="N32" s="61" t="s">
        <v>165</v>
      </c>
      <c r="O32" t="s">
        <v>165</v>
      </c>
      <c r="P32" s="9" t="s">
        <v>165</v>
      </c>
      <c r="Q32" s="61" t="s">
        <v>165</v>
      </c>
    </row>
    <row r="33" spans="2:17" x14ac:dyDescent="0.3">
      <c r="D33" t="s">
        <v>121</v>
      </c>
      <c r="E33" s="62" t="s">
        <v>165</v>
      </c>
      <c r="G33" s="9"/>
      <c r="H33" s="69" t="s">
        <v>132</v>
      </c>
      <c r="J33" s="9"/>
      <c r="K33" s="69" t="s">
        <v>132</v>
      </c>
      <c r="M33" s="9"/>
      <c r="N33" s="69" t="s">
        <v>132</v>
      </c>
      <c r="P33" s="9"/>
      <c r="Q33" s="69" t="s">
        <v>132</v>
      </c>
    </row>
    <row r="34" spans="2:17" x14ac:dyDescent="0.3">
      <c r="D34" t="s">
        <v>54</v>
      </c>
      <c r="E34" s="62" t="s">
        <v>165</v>
      </c>
      <c r="G34" s="9"/>
      <c r="H34" s="69" t="s">
        <v>132</v>
      </c>
      <c r="J34" s="9"/>
      <c r="K34" s="69" t="s">
        <v>132</v>
      </c>
      <c r="M34" s="9"/>
      <c r="N34" s="69" t="s">
        <v>132</v>
      </c>
      <c r="P34" s="9"/>
      <c r="Q34" s="69" t="s">
        <v>132</v>
      </c>
    </row>
    <row r="35" spans="2:17" x14ac:dyDescent="0.3">
      <c r="E35" s="60" t="s">
        <v>165</v>
      </c>
      <c r="F35" s="11" t="s">
        <v>165</v>
      </c>
      <c r="G35" s="12" t="s">
        <v>165</v>
      </c>
      <c r="H35" s="70">
        <v>30009.989630511998</v>
      </c>
      <c r="I35" s="11" t="s">
        <v>165</v>
      </c>
      <c r="J35" s="12" t="s">
        <v>165</v>
      </c>
      <c r="K35" s="70">
        <v>65061.147598192008</v>
      </c>
      <c r="L35" s="11" t="s">
        <v>165</v>
      </c>
      <c r="M35" s="12" t="s">
        <v>165</v>
      </c>
      <c r="N35" s="70">
        <v>71461.147598192008</v>
      </c>
      <c r="O35" s="11" t="s">
        <v>165</v>
      </c>
      <c r="P35" s="12" t="s">
        <v>165</v>
      </c>
      <c r="Q35" s="70">
        <v>75701.147598191994</v>
      </c>
    </row>
    <row r="36" spans="2:17" x14ac:dyDescent="0.3">
      <c r="E36" s="62" t="s">
        <v>165</v>
      </c>
      <c r="F36" t="s">
        <v>165</v>
      </c>
      <c r="G36" s="9" t="s">
        <v>165</v>
      </c>
      <c r="H36" s="61" t="s">
        <v>165</v>
      </c>
      <c r="I36" t="s">
        <v>165</v>
      </c>
      <c r="J36" s="9" t="s">
        <v>165</v>
      </c>
      <c r="K36" s="61" t="s">
        <v>165</v>
      </c>
      <c r="L36" t="s">
        <v>165</v>
      </c>
      <c r="M36" s="9" t="s">
        <v>165</v>
      </c>
      <c r="N36" s="61" t="s">
        <v>165</v>
      </c>
      <c r="O36" t="s">
        <v>165</v>
      </c>
      <c r="P36" s="9" t="s">
        <v>165</v>
      </c>
      <c r="Q36" s="61" t="s">
        <v>165</v>
      </c>
    </row>
    <row r="37" spans="2:17" x14ac:dyDescent="0.3">
      <c r="B37" s="11"/>
      <c r="C37" s="11" t="s">
        <v>71</v>
      </c>
      <c r="D37" s="11"/>
      <c r="E37" s="60" t="s">
        <v>165</v>
      </c>
      <c r="F37" s="11" t="s">
        <v>165</v>
      </c>
      <c r="G37" s="12" t="s">
        <v>165</v>
      </c>
      <c r="H37" s="70">
        <v>30009.989630511998</v>
      </c>
      <c r="I37" s="11" t="s">
        <v>165</v>
      </c>
      <c r="J37" s="12" t="s">
        <v>165</v>
      </c>
      <c r="K37" s="70">
        <v>65061.147598192008</v>
      </c>
      <c r="L37" s="11" t="s">
        <v>165</v>
      </c>
      <c r="M37" s="12" t="s">
        <v>165</v>
      </c>
      <c r="N37" s="70">
        <v>71461.147598192008</v>
      </c>
      <c r="O37" s="11" t="s">
        <v>165</v>
      </c>
      <c r="P37" s="12" t="s">
        <v>165</v>
      </c>
      <c r="Q37" s="70">
        <v>75701.147598191994</v>
      </c>
    </row>
    <row r="38" spans="2:17" x14ac:dyDescent="0.3">
      <c r="E38" s="62" t="s">
        <v>165</v>
      </c>
      <c r="F38" t="s">
        <v>165</v>
      </c>
      <c r="G38" s="9" t="s">
        <v>165</v>
      </c>
      <c r="H38" s="61" t="s">
        <v>165</v>
      </c>
      <c r="I38" t="s">
        <v>165</v>
      </c>
      <c r="J38" s="9" t="s">
        <v>165</v>
      </c>
      <c r="K38" s="61" t="s">
        <v>165</v>
      </c>
      <c r="L38" t="s">
        <v>165</v>
      </c>
      <c r="M38" s="9" t="s">
        <v>165</v>
      </c>
      <c r="N38" s="61" t="s">
        <v>165</v>
      </c>
      <c r="O38" t="s">
        <v>165</v>
      </c>
      <c r="P38" s="9" t="s">
        <v>165</v>
      </c>
      <c r="Q38" s="61" t="s">
        <v>165</v>
      </c>
    </row>
    <row r="39" spans="2:17" x14ac:dyDescent="0.3">
      <c r="B39" t="s">
        <v>104</v>
      </c>
      <c r="E39" s="71" t="s">
        <v>165</v>
      </c>
      <c r="F39" s="72">
        <v>0.09</v>
      </c>
      <c r="G39" s="9" t="s">
        <v>165</v>
      </c>
      <c r="H39" s="61">
        <v>2701</v>
      </c>
      <c r="I39" s="72">
        <v>0.09</v>
      </c>
      <c r="J39" s="9" t="s">
        <v>165</v>
      </c>
      <c r="K39" s="61">
        <v>5856</v>
      </c>
      <c r="L39" s="72">
        <v>0.09</v>
      </c>
      <c r="M39" s="9" t="s">
        <v>165</v>
      </c>
      <c r="N39" s="61">
        <v>6432</v>
      </c>
      <c r="O39" s="72">
        <v>0.09</v>
      </c>
      <c r="P39" s="9" t="s">
        <v>165</v>
      </c>
      <c r="Q39" s="61">
        <v>6813</v>
      </c>
    </row>
    <row r="40" spans="2:17" x14ac:dyDescent="0.3">
      <c r="E40" s="71" t="s">
        <v>165</v>
      </c>
      <c r="F40" s="47" t="s">
        <v>165</v>
      </c>
      <c r="G40" s="9" t="s">
        <v>165</v>
      </c>
      <c r="H40" s="61" t="s">
        <v>165</v>
      </c>
      <c r="I40" s="47" t="s">
        <v>165</v>
      </c>
      <c r="J40" s="9" t="s">
        <v>165</v>
      </c>
      <c r="K40" s="61" t="s">
        <v>165</v>
      </c>
      <c r="L40" s="47" t="s">
        <v>165</v>
      </c>
      <c r="M40" s="9" t="s">
        <v>165</v>
      </c>
      <c r="N40" s="61" t="s">
        <v>165</v>
      </c>
      <c r="O40" s="47" t="s">
        <v>165</v>
      </c>
      <c r="P40" s="9" t="s">
        <v>165</v>
      </c>
      <c r="Q40" s="61" t="s">
        <v>165</v>
      </c>
    </row>
    <row r="41" spans="2:17" x14ac:dyDescent="0.3">
      <c r="B41" t="s">
        <v>103</v>
      </c>
      <c r="E41" s="71" t="s">
        <v>165</v>
      </c>
      <c r="F41" s="72">
        <v>0.04</v>
      </c>
      <c r="G41" s="9" t="s">
        <v>165</v>
      </c>
      <c r="H41" s="61">
        <v>1308</v>
      </c>
      <c r="I41" s="72">
        <v>0.04</v>
      </c>
      <c r="J41" s="9" t="s">
        <v>165</v>
      </c>
      <c r="K41" s="61">
        <v>2837</v>
      </c>
      <c r="L41" s="72">
        <v>0.04</v>
      </c>
      <c r="M41" s="9" t="s">
        <v>165</v>
      </c>
      <c r="N41" s="61">
        <v>3116</v>
      </c>
      <c r="O41" s="72">
        <v>0.04</v>
      </c>
      <c r="P41" s="9" t="s">
        <v>165</v>
      </c>
      <c r="Q41" s="61">
        <v>3301</v>
      </c>
    </row>
    <row r="42" spans="2:17" x14ac:dyDescent="0.3">
      <c r="E42" s="71" t="s">
        <v>165</v>
      </c>
      <c r="F42" s="47" t="s">
        <v>165</v>
      </c>
      <c r="G42" s="9" t="s">
        <v>165</v>
      </c>
      <c r="H42" s="61" t="s">
        <v>165</v>
      </c>
      <c r="I42" s="47" t="s">
        <v>165</v>
      </c>
      <c r="J42" s="9" t="s">
        <v>165</v>
      </c>
      <c r="K42" s="61" t="s">
        <v>165</v>
      </c>
      <c r="L42" s="47" t="s">
        <v>165</v>
      </c>
      <c r="M42" s="9" t="s">
        <v>165</v>
      </c>
      <c r="N42" s="61" t="s">
        <v>165</v>
      </c>
      <c r="O42" s="47" t="s">
        <v>165</v>
      </c>
      <c r="P42" s="9" t="s">
        <v>165</v>
      </c>
      <c r="Q42" s="61" t="s">
        <v>165</v>
      </c>
    </row>
    <row r="43" spans="2:17" x14ac:dyDescent="0.3">
      <c r="B43" t="s">
        <v>127</v>
      </c>
      <c r="E43" s="71" t="s">
        <v>165</v>
      </c>
      <c r="F43" s="72">
        <v>1.2500000000000001E-2</v>
      </c>
      <c r="G43" s="9" t="s">
        <v>165</v>
      </c>
      <c r="H43" s="61">
        <v>425</v>
      </c>
      <c r="I43" s="72">
        <v>1.2500000000000001E-2</v>
      </c>
      <c r="J43" s="9" t="s">
        <v>165</v>
      </c>
      <c r="K43" s="61">
        <v>922</v>
      </c>
      <c r="L43" s="72">
        <v>1.2500000000000001E-2</v>
      </c>
      <c r="M43" s="9" t="s">
        <v>165</v>
      </c>
      <c r="N43" s="61">
        <v>1013</v>
      </c>
      <c r="O43" s="72">
        <v>1.2500000000000001E-2</v>
      </c>
      <c r="P43" s="9" t="s">
        <v>165</v>
      </c>
      <c r="Q43" s="61">
        <v>1073</v>
      </c>
    </row>
    <row r="44" spans="2:17" x14ac:dyDescent="0.3">
      <c r="E44" s="71" t="s">
        <v>165</v>
      </c>
      <c r="F44" s="47" t="s">
        <v>165</v>
      </c>
      <c r="G44" s="9" t="s">
        <v>165</v>
      </c>
      <c r="H44" s="61" t="s">
        <v>165</v>
      </c>
      <c r="I44" s="47" t="s">
        <v>165</v>
      </c>
      <c r="J44" s="9" t="s">
        <v>165</v>
      </c>
      <c r="K44" s="61" t="s">
        <v>165</v>
      </c>
      <c r="L44" s="47" t="s">
        <v>165</v>
      </c>
      <c r="M44" s="9" t="s">
        <v>165</v>
      </c>
      <c r="N44" s="61" t="s">
        <v>165</v>
      </c>
      <c r="O44" s="47" t="s">
        <v>165</v>
      </c>
      <c r="P44" s="9" t="s">
        <v>165</v>
      </c>
      <c r="Q44" s="61" t="s">
        <v>165</v>
      </c>
    </row>
    <row r="45" spans="2:17" x14ac:dyDescent="0.3">
      <c r="B45" t="s">
        <v>105</v>
      </c>
      <c r="E45" s="71" t="s">
        <v>165</v>
      </c>
      <c r="F45" s="47" t="s">
        <v>165</v>
      </c>
      <c r="G45" s="9" t="s">
        <v>165</v>
      </c>
      <c r="H45" s="61" t="s">
        <v>165</v>
      </c>
      <c r="I45" s="47" t="s">
        <v>165</v>
      </c>
      <c r="J45" s="9" t="s">
        <v>165</v>
      </c>
      <c r="K45" s="61" t="s">
        <v>165</v>
      </c>
      <c r="L45" s="47" t="s">
        <v>165</v>
      </c>
      <c r="M45" s="9" t="s">
        <v>165</v>
      </c>
      <c r="N45" s="61" t="s">
        <v>165</v>
      </c>
      <c r="O45" s="47" t="s">
        <v>165</v>
      </c>
      <c r="P45" s="9" t="s">
        <v>165</v>
      </c>
      <c r="Q45" s="61" t="s">
        <v>165</v>
      </c>
    </row>
    <row r="46" spans="2:17" x14ac:dyDescent="0.3">
      <c r="E46" s="73" t="s">
        <v>165</v>
      </c>
      <c r="F46" s="19" t="s">
        <v>165</v>
      </c>
      <c r="G46" s="9" t="s">
        <v>165</v>
      </c>
      <c r="H46" s="61" t="s">
        <v>165</v>
      </c>
      <c r="I46" s="19" t="s">
        <v>165</v>
      </c>
      <c r="J46" s="9" t="s">
        <v>165</v>
      </c>
      <c r="K46" s="61" t="s">
        <v>165</v>
      </c>
      <c r="L46" s="19" t="s">
        <v>165</v>
      </c>
      <c r="M46" s="9" t="s">
        <v>165</v>
      </c>
      <c r="N46" s="61" t="s">
        <v>165</v>
      </c>
      <c r="O46" s="19" t="s">
        <v>165</v>
      </c>
      <c r="P46" s="9" t="s">
        <v>165</v>
      </c>
      <c r="Q46" s="61" t="s">
        <v>165</v>
      </c>
    </row>
    <row r="47" spans="2:17" x14ac:dyDescent="0.3">
      <c r="E47" s="62" t="s">
        <v>165</v>
      </c>
      <c r="F47" t="s">
        <v>165</v>
      </c>
      <c r="G47" t="s">
        <v>165</v>
      </c>
      <c r="H47" s="62" t="s">
        <v>165</v>
      </c>
      <c r="I47" t="s">
        <v>165</v>
      </c>
      <c r="J47" t="s">
        <v>165</v>
      </c>
      <c r="K47" s="62" t="s">
        <v>165</v>
      </c>
      <c r="L47" t="s">
        <v>165</v>
      </c>
      <c r="M47" t="s">
        <v>165</v>
      </c>
      <c r="N47" s="62" t="s">
        <v>165</v>
      </c>
      <c r="O47" t="s">
        <v>165</v>
      </c>
      <c r="P47" t="s">
        <v>165</v>
      </c>
      <c r="Q47" s="62" t="s">
        <v>165</v>
      </c>
    </row>
    <row r="48" spans="2:17" ht="15" thickBot="1" x14ac:dyDescent="0.35">
      <c r="B48" s="33" t="s">
        <v>72</v>
      </c>
      <c r="C48" s="33"/>
      <c r="D48" s="33"/>
      <c r="E48" s="74" t="s">
        <v>165</v>
      </c>
      <c r="F48" s="33" t="s">
        <v>165</v>
      </c>
      <c r="G48" s="33" t="s">
        <v>165</v>
      </c>
      <c r="H48" s="75">
        <v>34443.989630511998</v>
      </c>
      <c r="I48" s="33" t="s">
        <v>165</v>
      </c>
      <c r="J48" s="33" t="s">
        <v>165</v>
      </c>
      <c r="K48" s="75">
        <v>74676.147598192008</v>
      </c>
      <c r="L48" s="33" t="s">
        <v>165</v>
      </c>
      <c r="M48" s="33" t="s">
        <v>165</v>
      </c>
      <c r="N48" s="75">
        <v>82022.147598192008</v>
      </c>
      <c r="O48" s="33" t="s">
        <v>165</v>
      </c>
      <c r="P48" s="33" t="s">
        <v>165</v>
      </c>
      <c r="Q48" s="75">
        <v>86888.147598191994</v>
      </c>
    </row>
    <row r="49" ht="15" thickTop="1" x14ac:dyDescent="0.3"/>
  </sheetData>
  <mergeCells count="9">
    <mergeCell ref="F3:H3"/>
    <mergeCell ref="I3:K3"/>
    <mergeCell ref="L3:N3"/>
    <mergeCell ref="O3:Q3"/>
    <mergeCell ref="A4:C4"/>
    <mergeCell ref="F4:H7"/>
    <mergeCell ref="I4:K7"/>
    <mergeCell ref="L4:N7"/>
    <mergeCell ref="O4:Q7"/>
  </mergeCells>
  <pageMargins left="0.7" right="0.7" top="0.75" bottom="0.75" header="0.3" footer="0.3"/>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A3622A-A254-4F96-852F-0362D68928B9}">
  <dimension ref="A1:O49"/>
  <sheetViews>
    <sheetView showGridLines="0" topLeftCell="A7" zoomScale="90" zoomScaleNormal="90" workbookViewId="0">
      <selection activeCell="M26" sqref="M26"/>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New Construction</v>
      </c>
    </row>
    <row r="2" spans="1:15" x14ac:dyDescent="0.3">
      <c r="A2" t="s">
        <v>0</v>
      </c>
    </row>
    <row r="3" spans="1:15" x14ac:dyDescent="0.3">
      <c r="A3" t="s">
        <v>70</v>
      </c>
    </row>
    <row r="4" spans="1:15" ht="14.4" customHeight="1" x14ac:dyDescent="0.3">
      <c r="A4" s="88">
        <v>10</v>
      </c>
      <c r="B4" s="88"/>
      <c r="C4" s="88"/>
    </row>
    <row r="6" spans="1:15" x14ac:dyDescent="0.3">
      <c r="B6" t="s">
        <v>50</v>
      </c>
      <c r="F6" s="41"/>
      <c r="G6" s="9"/>
      <c r="H6" s="8"/>
    </row>
    <row r="7" spans="1:15" x14ac:dyDescent="0.3">
      <c r="C7" t="s">
        <v>120</v>
      </c>
      <c r="F7" s="41"/>
      <c r="G7" s="9"/>
      <c r="H7" s="38" t="s">
        <v>116</v>
      </c>
    </row>
    <row r="8" spans="1:15" x14ac:dyDescent="0.3">
      <c r="D8" t="s">
        <v>54</v>
      </c>
      <c r="E8">
        <v>32</v>
      </c>
      <c r="F8" s="41"/>
      <c r="G8" s="9"/>
      <c r="H8" s="10"/>
    </row>
    <row r="9" spans="1:15" x14ac:dyDescent="0.3">
      <c r="D9" t="s">
        <v>59</v>
      </c>
      <c r="F9" s="41"/>
      <c r="G9" s="9"/>
      <c r="H9" s="10"/>
    </row>
    <row r="10" spans="1:15" x14ac:dyDescent="0.3">
      <c r="E10" s="11"/>
      <c r="F10" s="42"/>
      <c r="G10" s="12"/>
      <c r="H10" s="13">
        <f>SUBTOTAL(9,H6:H9)</f>
        <v>0</v>
      </c>
    </row>
    <row r="11" spans="1:15" x14ac:dyDescent="0.3">
      <c r="F11" s="41"/>
      <c r="G11" s="9"/>
      <c r="H11" s="10">
        <f t="shared" ref="H11:H38" si="0">E11*G11</f>
        <v>0</v>
      </c>
    </row>
    <row r="12" spans="1:15" x14ac:dyDescent="0.3">
      <c r="B12" t="s">
        <v>51</v>
      </c>
      <c r="F12" s="41"/>
      <c r="G12" s="9"/>
      <c r="H12" s="10">
        <f t="shared" si="0"/>
        <v>0</v>
      </c>
    </row>
    <row r="13" spans="1:15" x14ac:dyDescent="0.3">
      <c r="C13" t="s">
        <v>53</v>
      </c>
      <c r="F13" s="41"/>
      <c r="G13" s="9"/>
      <c r="H13" s="39" t="s">
        <v>117</v>
      </c>
    </row>
    <row r="14" spans="1:15" x14ac:dyDescent="0.3">
      <c r="D14" t="s">
        <v>61</v>
      </c>
      <c r="F14" s="41"/>
      <c r="G14" s="29"/>
      <c r="H14" s="10"/>
    </row>
    <row r="15" spans="1:15" x14ac:dyDescent="0.3">
      <c r="D15" s="14" t="s">
        <v>73</v>
      </c>
      <c r="F15" s="41"/>
      <c r="G15" s="29"/>
      <c r="H15" s="10"/>
    </row>
    <row r="16" spans="1:15" x14ac:dyDescent="0.3">
      <c r="D16" t="s">
        <v>64</v>
      </c>
      <c r="F16" s="41"/>
      <c r="G16" s="29"/>
      <c r="H16" s="10"/>
    </row>
    <row r="17" spans="3:8" x14ac:dyDescent="0.3">
      <c r="D17" t="s">
        <v>54</v>
      </c>
      <c r="F17" s="41"/>
      <c r="G17" s="9"/>
      <c r="H17" s="10"/>
    </row>
    <row r="18" spans="3:8" x14ac:dyDescent="0.3">
      <c r="C18" t="s">
        <v>52</v>
      </c>
      <c r="F18" s="41"/>
      <c r="G18" s="9"/>
      <c r="H18" s="10">
        <f t="shared" si="0"/>
        <v>0</v>
      </c>
    </row>
    <row r="19" spans="3:8" x14ac:dyDescent="0.3">
      <c r="D19" t="s">
        <v>66</v>
      </c>
      <c r="E19">
        <v>8</v>
      </c>
      <c r="F19" s="41" t="s">
        <v>62</v>
      </c>
      <c r="G19" s="85">
        <f>'LRMF NC Electric Z10'!G19*0.75</f>
        <v>3900</v>
      </c>
      <c r="H19" s="10">
        <f t="shared" si="0"/>
        <v>31200</v>
      </c>
    </row>
    <row r="20" spans="3:8" ht="30" customHeight="1" x14ac:dyDescent="0.3">
      <c r="D20" s="24" t="s">
        <v>197</v>
      </c>
      <c r="F20" s="41"/>
      <c r="G20" s="9"/>
      <c r="H20" s="10">
        <f t="shared" si="0"/>
        <v>0</v>
      </c>
    </row>
    <row r="21" spans="3:8" x14ac:dyDescent="0.3">
      <c r="D21" s="15" t="s">
        <v>68</v>
      </c>
      <c r="E21">
        <v>8</v>
      </c>
      <c r="F21" s="41" t="s">
        <v>62</v>
      </c>
      <c r="G21" s="9">
        <v>100</v>
      </c>
      <c r="H21" s="10">
        <f t="shared" si="0"/>
        <v>800</v>
      </c>
    </row>
    <row r="22" spans="3:8" x14ac:dyDescent="0.3">
      <c r="D22" s="15" t="s">
        <v>114</v>
      </c>
      <c r="E22">
        <v>800</v>
      </c>
      <c r="F22" s="41" t="s">
        <v>67</v>
      </c>
      <c r="G22" s="9">
        <v>4</v>
      </c>
      <c r="H22" s="10">
        <f t="shared" si="0"/>
        <v>3200</v>
      </c>
    </row>
    <row r="23" spans="3:8" x14ac:dyDescent="0.3">
      <c r="D23" t="s">
        <v>64</v>
      </c>
      <c r="E23">
        <v>8</v>
      </c>
      <c r="F23" s="41" t="s">
        <v>60</v>
      </c>
      <c r="G23" s="9">
        <v>400</v>
      </c>
      <c r="H23" s="10">
        <f t="shared" si="0"/>
        <v>3200</v>
      </c>
    </row>
    <row r="24" spans="3:8" x14ac:dyDescent="0.3">
      <c r="D24" t="s">
        <v>54</v>
      </c>
      <c r="E24">
        <v>96</v>
      </c>
      <c r="F24" s="41" t="s">
        <v>58</v>
      </c>
      <c r="G24" s="9">
        <f>VLOOKUP($A$4,zone_lu,4)</f>
        <v>58.866228829999997</v>
      </c>
      <c r="H24" s="10">
        <f t="shared" si="0"/>
        <v>5651.1579676799993</v>
      </c>
    </row>
    <row r="25" spans="3:8" x14ac:dyDescent="0.3">
      <c r="C25" t="s">
        <v>106</v>
      </c>
      <c r="F25" s="41"/>
      <c r="G25" s="9"/>
      <c r="H25" s="10"/>
    </row>
    <row r="26" spans="3:8" x14ac:dyDescent="0.3">
      <c r="D26" t="s">
        <v>111</v>
      </c>
      <c r="E26">
        <v>8</v>
      </c>
      <c r="F26" s="41" t="s">
        <v>62</v>
      </c>
      <c r="G26" s="9">
        <v>400</v>
      </c>
      <c r="H26" s="10">
        <f t="shared" si="0"/>
        <v>3200</v>
      </c>
    </row>
    <row r="27" spans="3:8" x14ac:dyDescent="0.3">
      <c r="C27" t="s">
        <v>128</v>
      </c>
      <c r="F27" s="41"/>
      <c r="G27" s="9"/>
      <c r="H27" s="10"/>
    </row>
    <row r="28" spans="3:8" x14ac:dyDescent="0.3">
      <c r="D28" t="s">
        <v>129</v>
      </c>
      <c r="E28">
        <v>16</v>
      </c>
      <c r="F28" s="41" t="s">
        <v>62</v>
      </c>
      <c r="G28" s="9">
        <v>65</v>
      </c>
      <c r="H28" s="10">
        <f t="shared" si="0"/>
        <v>1040</v>
      </c>
    </row>
    <row r="29" spans="3:8" x14ac:dyDescent="0.3">
      <c r="D29" t="s">
        <v>130</v>
      </c>
      <c r="F29" s="41"/>
      <c r="G29" s="9"/>
      <c r="H29" s="38" t="s">
        <v>116</v>
      </c>
    </row>
    <row r="30" spans="3:8" x14ac:dyDescent="0.3">
      <c r="D30" t="s">
        <v>131</v>
      </c>
      <c r="F30" s="41"/>
      <c r="G30" s="9"/>
      <c r="H30" s="38" t="s">
        <v>116</v>
      </c>
    </row>
    <row r="31" spans="3:8" x14ac:dyDescent="0.3">
      <c r="D31" t="s">
        <v>54</v>
      </c>
      <c r="E31">
        <f>8*6</f>
        <v>48</v>
      </c>
      <c r="F31" s="41" t="s">
        <v>58</v>
      </c>
      <c r="G31" s="9">
        <f>VLOOKUP($A$4,zone_lu,4)</f>
        <v>58.866228829999997</v>
      </c>
      <c r="H31" s="10">
        <f t="shared" si="0"/>
        <v>2825.5789838399996</v>
      </c>
    </row>
    <row r="32" spans="3:8" x14ac:dyDescent="0.3">
      <c r="C32" t="s">
        <v>118</v>
      </c>
      <c r="F32" s="41"/>
      <c r="G32" s="9"/>
      <c r="H32" s="10">
        <f t="shared" si="0"/>
        <v>0</v>
      </c>
    </row>
    <row r="33" spans="2:9" x14ac:dyDescent="0.3">
      <c r="D33" t="s">
        <v>121</v>
      </c>
      <c r="F33" s="41"/>
      <c r="G33" s="9"/>
      <c r="H33" s="38" t="s">
        <v>132</v>
      </c>
    </row>
    <row r="34" spans="2:9" x14ac:dyDescent="0.3">
      <c r="D34" t="s">
        <v>54</v>
      </c>
      <c r="F34" s="41"/>
      <c r="G34" s="9"/>
      <c r="H34" s="38" t="s">
        <v>132</v>
      </c>
    </row>
    <row r="35" spans="2:9" x14ac:dyDescent="0.3">
      <c r="E35" s="11"/>
      <c r="F35" s="42"/>
      <c r="G35" s="12"/>
      <c r="H35" s="13">
        <f>SUBTOTAL(9,H12:H34)</f>
        <v>51116.736951520004</v>
      </c>
    </row>
    <row r="36" spans="2:9" x14ac:dyDescent="0.3">
      <c r="E36" s="16"/>
      <c r="F36" s="43"/>
      <c r="G36" s="17"/>
      <c r="H36" s="18"/>
    </row>
    <row r="37" spans="2:9" x14ac:dyDescent="0.3">
      <c r="B37" s="11"/>
      <c r="C37" s="11" t="s">
        <v>71</v>
      </c>
      <c r="D37" s="11"/>
      <c r="E37" s="11"/>
      <c r="F37" s="42"/>
      <c r="G37" s="12"/>
      <c r="H37" s="13">
        <f>SUBTOTAL(9,H6:H36)</f>
        <v>51116.736951520004</v>
      </c>
    </row>
    <row r="38" spans="2:9" x14ac:dyDescent="0.3">
      <c r="F38" s="41"/>
      <c r="G38" s="9"/>
      <c r="H38" s="10">
        <f t="shared" si="0"/>
        <v>0</v>
      </c>
    </row>
    <row r="39" spans="2:9" x14ac:dyDescent="0.3">
      <c r="B39" t="s">
        <v>104</v>
      </c>
      <c r="E39" s="49">
        <f>ROUND(VLOOKUP($A$4,zone_lu,5)*0.6,2)</f>
        <v>0.09</v>
      </c>
      <c r="F39" s="41"/>
      <c r="G39" s="9"/>
      <c r="H39" s="10">
        <f>ROUND(H37*E39,0)</f>
        <v>4601</v>
      </c>
      <c r="I39" s="10">
        <f>ROUND(I37*F39,0)</f>
        <v>0</v>
      </c>
    </row>
    <row r="40" spans="2:9" x14ac:dyDescent="0.3">
      <c r="E40" s="49"/>
      <c r="F40" s="41"/>
      <c r="G40" s="9"/>
      <c r="H40" s="10"/>
      <c r="I40" s="10"/>
    </row>
    <row r="41" spans="2:9" x14ac:dyDescent="0.3">
      <c r="B41" t="s">
        <v>103</v>
      </c>
      <c r="E41" s="49">
        <f>ROUND(VLOOKUP($A$4,zone_lu,6)*0.4,2)</f>
        <v>0.04</v>
      </c>
      <c r="F41" s="41"/>
      <c r="G41" s="9"/>
      <c r="H41" s="10">
        <f>ROUND(SUM(H37:H40)*E41,0)</f>
        <v>2229</v>
      </c>
      <c r="I41" s="10"/>
    </row>
    <row r="42" spans="2:9" x14ac:dyDescent="0.3">
      <c r="E42" s="49"/>
      <c r="F42" s="41"/>
      <c r="G42" s="9"/>
      <c r="H42" s="10"/>
      <c r="I42" s="10"/>
    </row>
    <row r="43" spans="2:9" x14ac:dyDescent="0.3">
      <c r="B43" t="s">
        <v>127</v>
      </c>
      <c r="E43" s="49">
        <f>VLOOKUP($A$4,zone_lu,7)</f>
        <v>1.2500000000000001E-2</v>
      </c>
      <c r="F43" s="41"/>
      <c r="G43" s="9"/>
      <c r="H43" s="10">
        <f>ROUND(SUM(H37:H42)*E43,0)</f>
        <v>724</v>
      </c>
      <c r="I43" s="10"/>
    </row>
    <row r="44" spans="2:9" x14ac:dyDescent="0.3">
      <c r="E44" s="49"/>
      <c r="F44" s="41"/>
      <c r="G44" s="9"/>
      <c r="H44" s="10"/>
      <c r="I44" s="10"/>
    </row>
    <row r="45" spans="2:9" x14ac:dyDescent="0.3">
      <c r="B45" t="s">
        <v>105</v>
      </c>
      <c r="E45" s="49"/>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58670.736951520004</v>
      </c>
    </row>
    <row r="49" ht="15" thickTop="1" x14ac:dyDescent="0.3"/>
  </sheetData>
  <mergeCells count="1">
    <mergeCell ref="A4:C4"/>
  </mergeCells>
  <pageMargins left="0.7" right="0.7" top="0.75" bottom="0.75" header="0.3" footer="0.3"/>
  <legacy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FD9169-AC3B-4B50-A323-CD768AB1634B}">
  <dimension ref="A1:O49"/>
  <sheetViews>
    <sheetView showGridLines="0" topLeftCell="A7" zoomScale="90" zoomScaleNormal="90" workbookViewId="0">
      <selection activeCell="O32" sqref="O3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New Construction</v>
      </c>
    </row>
    <row r="2" spans="1:15" x14ac:dyDescent="0.3">
      <c r="A2" t="s">
        <v>0</v>
      </c>
    </row>
    <row r="3" spans="1:15" x14ac:dyDescent="0.3">
      <c r="A3" t="s">
        <v>70</v>
      </c>
    </row>
    <row r="4" spans="1:15" ht="14.4" customHeight="1" x14ac:dyDescent="0.3">
      <c r="A4" s="88">
        <v>12</v>
      </c>
      <c r="B4" s="88"/>
      <c r="C4" s="88"/>
    </row>
    <row r="6" spans="1:15" x14ac:dyDescent="0.3">
      <c r="B6" t="s">
        <v>50</v>
      </c>
      <c r="F6" s="41"/>
      <c r="G6" s="9"/>
      <c r="H6" s="8"/>
    </row>
    <row r="7" spans="1:15" x14ac:dyDescent="0.3">
      <c r="C7" t="s">
        <v>55</v>
      </c>
      <c r="F7" s="41"/>
      <c r="G7" s="9"/>
      <c r="H7" s="38" t="s">
        <v>116</v>
      </c>
    </row>
    <row r="8" spans="1:15" x14ac:dyDescent="0.3">
      <c r="D8" t="s">
        <v>54</v>
      </c>
      <c r="F8" s="41"/>
      <c r="G8" s="9"/>
      <c r="H8" s="10"/>
    </row>
    <row r="9" spans="1:15" x14ac:dyDescent="0.3">
      <c r="D9" t="s">
        <v>59</v>
      </c>
      <c r="F9" s="41"/>
      <c r="G9" s="9"/>
      <c r="H9" s="10"/>
    </row>
    <row r="10" spans="1:15" x14ac:dyDescent="0.3">
      <c r="E10" s="11"/>
      <c r="F10" s="42"/>
      <c r="G10" s="12"/>
      <c r="H10" s="13">
        <f>SUBTOTAL(9,H6:H9)</f>
        <v>0</v>
      </c>
    </row>
    <row r="11" spans="1:15" x14ac:dyDescent="0.3">
      <c r="F11" s="41"/>
      <c r="G11" s="9"/>
      <c r="H11" s="10">
        <f t="shared" ref="H11:H38" si="0">E11*G11</f>
        <v>0</v>
      </c>
    </row>
    <row r="12" spans="1:15" x14ac:dyDescent="0.3">
      <c r="B12" t="s">
        <v>51</v>
      </c>
      <c r="F12" s="41"/>
      <c r="G12" s="9"/>
      <c r="H12" s="10">
        <f t="shared" si="0"/>
        <v>0</v>
      </c>
    </row>
    <row r="13" spans="1:15" x14ac:dyDescent="0.3">
      <c r="C13" t="s">
        <v>53</v>
      </c>
      <c r="F13" s="41"/>
      <c r="G13" s="9"/>
      <c r="H13" s="37" t="s">
        <v>117</v>
      </c>
    </row>
    <row r="14" spans="1:15" x14ac:dyDescent="0.3">
      <c r="D14" t="s">
        <v>61</v>
      </c>
      <c r="F14" s="41"/>
      <c r="G14" s="29"/>
      <c r="H14" s="10"/>
    </row>
    <row r="15" spans="1:15" x14ac:dyDescent="0.3">
      <c r="D15" s="14" t="s">
        <v>73</v>
      </c>
      <c r="F15" s="41"/>
      <c r="G15" s="29"/>
      <c r="H15" s="10"/>
    </row>
    <row r="16" spans="1:15" x14ac:dyDescent="0.3">
      <c r="D16" t="s">
        <v>64</v>
      </c>
      <c r="F16" s="41"/>
      <c r="G16" s="29"/>
      <c r="H16" s="10"/>
    </row>
    <row r="17" spans="3:8" x14ac:dyDescent="0.3">
      <c r="D17" t="s">
        <v>54</v>
      </c>
      <c r="F17" s="41"/>
      <c r="G17" s="9"/>
      <c r="H17" s="10"/>
    </row>
    <row r="18" spans="3:8" x14ac:dyDescent="0.3">
      <c r="C18" t="s">
        <v>52</v>
      </c>
      <c r="F18" s="41"/>
      <c r="G18" s="9"/>
      <c r="H18" s="10">
        <f t="shared" si="0"/>
        <v>0</v>
      </c>
    </row>
    <row r="19" spans="3:8" x14ac:dyDescent="0.3">
      <c r="D19" t="s">
        <v>66</v>
      </c>
      <c r="E19">
        <v>8</v>
      </c>
      <c r="F19" s="41" t="s">
        <v>62</v>
      </c>
      <c r="G19" s="85">
        <f>'LRMF NC Electric Z12 O2'!G19*0.75</f>
        <v>5281.25</v>
      </c>
      <c r="H19" s="10">
        <f t="shared" si="0"/>
        <v>42250</v>
      </c>
    </row>
    <row r="20" spans="3:8" ht="43.2" x14ac:dyDescent="0.3">
      <c r="D20" s="24" t="s">
        <v>196</v>
      </c>
      <c r="F20" s="41"/>
      <c r="G20" s="9"/>
      <c r="H20" s="10">
        <f t="shared" si="0"/>
        <v>0</v>
      </c>
    </row>
    <row r="21" spans="3:8" x14ac:dyDescent="0.3">
      <c r="D21" s="15" t="s">
        <v>68</v>
      </c>
      <c r="E21">
        <v>8</v>
      </c>
      <c r="F21" s="41" t="s">
        <v>62</v>
      </c>
      <c r="G21" s="9">
        <v>100</v>
      </c>
      <c r="H21" s="10">
        <f t="shared" si="0"/>
        <v>800</v>
      </c>
    </row>
    <row r="22" spans="3:8" x14ac:dyDescent="0.3">
      <c r="D22" s="15" t="s">
        <v>114</v>
      </c>
      <c r="E22">
        <v>800</v>
      </c>
      <c r="F22" s="41" t="s">
        <v>67</v>
      </c>
      <c r="G22" s="9">
        <v>4</v>
      </c>
      <c r="H22" s="10">
        <f t="shared" si="0"/>
        <v>3200</v>
      </c>
    </row>
    <row r="23" spans="3:8" x14ac:dyDescent="0.3">
      <c r="D23" t="s">
        <v>64</v>
      </c>
      <c r="E23">
        <v>8</v>
      </c>
      <c r="F23" s="41" t="s">
        <v>60</v>
      </c>
      <c r="G23" s="9">
        <v>400</v>
      </c>
      <c r="H23" s="10">
        <f t="shared" si="0"/>
        <v>3200</v>
      </c>
    </row>
    <row r="24" spans="3:8" x14ac:dyDescent="0.3">
      <c r="D24" t="s">
        <v>54</v>
      </c>
      <c r="E24">
        <v>96</v>
      </c>
      <c r="F24" s="41" t="s">
        <v>58</v>
      </c>
      <c r="G24" s="9">
        <f>VLOOKUP($A$4,zone_lu,4)</f>
        <v>58.866228829999997</v>
      </c>
      <c r="H24" s="10">
        <f t="shared" si="0"/>
        <v>5651.1579676799993</v>
      </c>
    </row>
    <row r="25" spans="3:8" x14ac:dyDescent="0.3">
      <c r="C25" t="s">
        <v>106</v>
      </c>
      <c r="F25" s="41"/>
      <c r="G25" s="9"/>
      <c r="H25" s="10"/>
    </row>
    <row r="26" spans="3:8" x14ac:dyDescent="0.3">
      <c r="D26" t="s">
        <v>111</v>
      </c>
      <c r="E26">
        <v>8</v>
      </c>
      <c r="F26" s="41" t="s">
        <v>62</v>
      </c>
      <c r="G26" s="9">
        <v>400</v>
      </c>
      <c r="H26" s="10">
        <f t="shared" si="0"/>
        <v>3200</v>
      </c>
    </row>
    <row r="27" spans="3:8" x14ac:dyDescent="0.3">
      <c r="C27" t="s">
        <v>128</v>
      </c>
      <c r="F27" s="41"/>
      <c r="G27" s="9"/>
      <c r="H27" s="10"/>
    </row>
    <row r="28" spans="3:8" x14ac:dyDescent="0.3">
      <c r="D28" t="s">
        <v>129</v>
      </c>
      <c r="E28">
        <v>16</v>
      </c>
      <c r="F28" s="41" t="s">
        <v>62</v>
      </c>
      <c r="G28" s="9">
        <v>65</v>
      </c>
      <c r="H28" s="10">
        <f t="shared" si="0"/>
        <v>1040</v>
      </c>
    </row>
    <row r="29" spans="3:8" x14ac:dyDescent="0.3">
      <c r="D29" t="s">
        <v>130</v>
      </c>
      <c r="F29" s="41"/>
      <c r="G29" s="9"/>
      <c r="H29" s="38" t="s">
        <v>116</v>
      </c>
    </row>
    <row r="30" spans="3:8" x14ac:dyDescent="0.3">
      <c r="D30" t="s">
        <v>131</v>
      </c>
      <c r="F30" s="41"/>
      <c r="G30" s="9"/>
      <c r="H30" s="38" t="s">
        <v>116</v>
      </c>
    </row>
    <row r="31" spans="3:8" x14ac:dyDescent="0.3">
      <c r="D31" t="s">
        <v>54</v>
      </c>
      <c r="E31">
        <f>8*6</f>
        <v>48</v>
      </c>
      <c r="F31" s="41" t="s">
        <v>58</v>
      </c>
      <c r="G31" s="9">
        <f>VLOOKUP($A$4,zone_lu,4)</f>
        <v>58.866228829999997</v>
      </c>
      <c r="H31" s="10">
        <f t="shared" si="0"/>
        <v>2825.5789838399996</v>
      </c>
    </row>
    <row r="32" spans="3:8" x14ac:dyDescent="0.3">
      <c r="C32" t="s">
        <v>118</v>
      </c>
      <c r="F32" s="41"/>
      <c r="G32" s="9"/>
      <c r="H32" s="10">
        <f t="shared" si="0"/>
        <v>0</v>
      </c>
    </row>
    <row r="33" spans="2:9" x14ac:dyDescent="0.3">
      <c r="D33" t="s">
        <v>64</v>
      </c>
      <c r="F33" s="41"/>
      <c r="G33" s="9"/>
      <c r="H33" s="38" t="s">
        <v>132</v>
      </c>
    </row>
    <row r="34" spans="2:9" x14ac:dyDescent="0.3">
      <c r="D34" t="s">
        <v>54</v>
      </c>
      <c r="F34" s="41"/>
      <c r="G34" s="9"/>
      <c r="H34" s="38" t="s">
        <v>132</v>
      </c>
    </row>
    <row r="35" spans="2:9" x14ac:dyDescent="0.3">
      <c r="E35" s="11"/>
      <c r="F35" s="42"/>
      <c r="G35" s="12"/>
      <c r="H35" s="13">
        <f>SUBTOTAL(9,H12:H34)</f>
        <v>62166.736951520004</v>
      </c>
    </row>
    <row r="36" spans="2:9" x14ac:dyDescent="0.3">
      <c r="E36" s="16"/>
      <c r="F36" s="43"/>
      <c r="G36" s="17"/>
      <c r="H36" s="18"/>
    </row>
    <row r="37" spans="2:9" x14ac:dyDescent="0.3">
      <c r="B37" s="11"/>
      <c r="C37" s="11" t="s">
        <v>71</v>
      </c>
      <c r="D37" s="11"/>
      <c r="E37" s="11"/>
      <c r="F37" s="42"/>
      <c r="G37" s="12"/>
      <c r="H37" s="13">
        <f>SUBTOTAL(9,H6:H36)</f>
        <v>62166.736951520004</v>
      </c>
    </row>
    <row r="38" spans="2:9" x14ac:dyDescent="0.3">
      <c r="F38" s="41"/>
      <c r="G38" s="9"/>
      <c r="H38" s="10">
        <f t="shared" si="0"/>
        <v>0</v>
      </c>
    </row>
    <row r="39" spans="2:9" x14ac:dyDescent="0.3">
      <c r="B39" t="s">
        <v>104</v>
      </c>
      <c r="E39" s="49">
        <f>ROUND(VLOOKUP($A$4,zone_lu,5)*0.6,2)</f>
        <v>0.09</v>
      </c>
      <c r="F39" s="41"/>
      <c r="G39" s="9"/>
      <c r="H39" s="10">
        <f>ROUND(H37*E39,0)</f>
        <v>5595</v>
      </c>
      <c r="I39" s="10">
        <f>ROUND(I37*F39,0)</f>
        <v>0</v>
      </c>
    </row>
    <row r="40" spans="2:9" x14ac:dyDescent="0.3">
      <c r="E40" s="49"/>
      <c r="F40" s="41"/>
      <c r="G40" s="9"/>
      <c r="H40" s="10"/>
      <c r="I40" s="10"/>
    </row>
    <row r="41" spans="2:9" x14ac:dyDescent="0.3">
      <c r="B41" t="s">
        <v>103</v>
      </c>
      <c r="E41" s="49">
        <f>ROUND(VLOOKUP($A$4,zone_lu,6)*0.4,2)</f>
        <v>0.04</v>
      </c>
      <c r="F41" s="41"/>
      <c r="G41" s="9"/>
      <c r="H41" s="10">
        <f>ROUND(SUM(H37:H40)*E41,0)</f>
        <v>2710</v>
      </c>
      <c r="I41" s="10"/>
    </row>
    <row r="42" spans="2:9" x14ac:dyDescent="0.3">
      <c r="E42" s="49"/>
      <c r="F42" s="41"/>
      <c r="G42" s="9"/>
      <c r="H42" s="10"/>
      <c r="I42" s="10"/>
    </row>
    <row r="43" spans="2:9" x14ac:dyDescent="0.3">
      <c r="B43" t="s">
        <v>127</v>
      </c>
      <c r="E43" s="49">
        <f>VLOOKUP($A$4,zone_lu,7)</f>
        <v>1.2500000000000001E-2</v>
      </c>
      <c r="F43" s="41"/>
      <c r="G43" s="9"/>
      <c r="H43" s="10">
        <f>ROUND(SUM(H37:H42)*E43,0)</f>
        <v>881</v>
      </c>
      <c r="I43" s="10"/>
    </row>
    <row r="44" spans="2:9" x14ac:dyDescent="0.3">
      <c r="E44" s="49"/>
      <c r="F44" s="41"/>
      <c r="G44" s="9"/>
      <c r="H44" s="10"/>
      <c r="I44" s="10"/>
    </row>
    <row r="45" spans="2:9" x14ac:dyDescent="0.3">
      <c r="B45" t="s">
        <v>105</v>
      </c>
      <c r="E45" s="49"/>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71352.736951519997</v>
      </c>
    </row>
    <row r="49" ht="15" thickTop="1" x14ac:dyDescent="0.3"/>
  </sheetData>
  <mergeCells count="1">
    <mergeCell ref="A4:C4"/>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16"/>
  <dimension ref="A1:O49"/>
  <sheetViews>
    <sheetView showGridLines="0" topLeftCell="A7"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1990's</v>
      </c>
    </row>
    <row r="2" spans="1:15" x14ac:dyDescent="0.3">
      <c r="A2" t="s">
        <v>10</v>
      </c>
    </row>
    <row r="3" spans="1:15" x14ac:dyDescent="0.3">
      <c r="A3" t="s">
        <v>70</v>
      </c>
    </row>
    <row r="4" spans="1:15" ht="14.4" customHeight="1" x14ac:dyDescent="0.3">
      <c r="A4" s="88">
        <v>3</v>
      </c>
      <c r="B4" s="88"/>
      <c r="C4" s="88"/>
    </row>
    <row r="6" spans="1:15" x14ac:dyDescent="0.3">
      <c r="B6" t="s">
        <v>50</v>
      </c>
      <c r="F6" s="41"/>
      <c r="G6" s="9"/>
      <c r="H6" s="8"/>
    </row>
    <row r="7" spans="1:15" x14ac:dyDescent="0.3">
      <c r="C7" t="s">
        <v>55</v>
      </c>
      <c r="F7" s="41"/>
      <c r="G7" s="9"/>
      <c r="H7" s="8"/>
    </row>
    <row r="8" spans="1:15" x14ac:dyDescent="0.3">
      <c r="D8" t="s">
        <v>54</v>
      </c>
      <c r="E8">
        <v>24</v>
      </c>
      <c r="F8" s="41" t="s">
        <v>58</v>
      </c>
      <c r="G8" s="9">
        <f>VLOOKUP($A$4,zone_lu,4)</f>
        <v>58.866228829999997</v>
      </c>
      <c r="H8" s="10">
        <f>E8*G8</f>
        <v>1412.7894919199998</v>
      </c>
    </row>
    <row r="9" spans="1:15" x14ac:dyDescent="0.3">
      <c r="D9" t="s">
        <v>59</v>
      </c>
      <c r="E9">
        <v>1</v>
      </c>
      <c r="F9" s="41" t="s">
        <v>60</v>
      </c>
      <c r="G9" s="9">
        <v>500</v>
      </c>
      <c r="H9" s="10">
        <f t="shared" ref="H9:H38" si="0">E9*G9</f>
        <v>500</v>
      </c>
    </row>
    <row r="10" spans="1:15" x14ac:dyDescent="0.3">
      <c r="E10" s="11"/>
      <c r="F10" s="42"/>
      <c r="G10" s="12"/>
      <c r="H10" s="13">
        <f>SUBTOTAL(9,H6:H9)</f>
        <v>1912.7894919199998</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39" t="s">
        <v>117</v>
      </c>
    </row>
    <row r="14" spans="1:15" x14ac:dyDescent="0.3">
      <c r="D14" t="s">
        <v>61</v>
      </c>
      <c r="F14" s="41"/>
      <c r="G14" s="28"/>
      <c r="H14" s="10"/>
    </row>
    <row r="15" spans="1:15" x14ac:dyDescent="0.3">
      <c r="D15" s="22" t="s">
        <v>73</v>
      </c>
      <c r="F15" s="41"/>
      <c r="G15" s="10"/>
      <c r="H15" s="10"/>
    </row>
    <row r="16" spans="1:15" x14ac:dyDescent="0.3">
      <c r="D16" s="23" t="s">
        <v>64</v>
      </c>
      <c r="F16" s="41"/>
      <c r="G16" s="10"/>
      <c r="H16" s="10"/>
    </row>
    <row r="17" spans="3:8" x14ac:dyDescent="0.3">
      <c r="D17" s="23" t="s">
        <v>54</v>
      </c>
      <c r="F17" s="41"/>
      <c r="G17" s="10"/>
      <c r="H17" s="10"/>
    </row>
    <row r="18" spans="3:8" x14ac:dyDescent="0.3">
      <c r="C18" t="s">
        <v>52</v>
      </c>
      <c r="D18" s="23"/>
      <c r="F18" s="41"/>
      <c r="G18" s="9"/>
      <c r="H18" s="10">
        <f t="shared" ref="H18" si="1">E18*G18</f>
        <v>0</v>
      </c>
    </row>
    <row r="19" spans="3:8" x14ac:dyDescent="0.3">
      <c r="D19" s="23" t="s">
        <v>66</v>
      </c>
      <c r="E19">
        <v>6</v>
      </c>
      <c r="F19" s="41" t="s">
        <v>62</v>
      </c>
      <c r="G19" s="29">
        <v>6300</v>
      </c>
      <c r="H19" s="10">
        <f t="shared" si="0"/>
        <v>37800</v>
      </c>
    </row>
    <row r="20" spans="3:8" ht="28.8" x14ac:dyDescent="0.3">
      <c r="D20" s="24" t="s">
        <v>74</v>
      </c>
      <c r="F20" s="41"/>
      <c r="G20" s="9"/>
      <c r="H20" s="10">
        <f t="shared" si="0"/>
        <v>0</v>
      </c>
    </row>
    <row r="21" spans="3:8" x14ac:dyDescent="0.3">
      <c r="D21" s="15" t="s">
        <v>68</v>
      </c>
      <c r="E21">
        <v>6</v>
      </c>
      <c r="F21" s="41" t="s">
        <v>62</v>
      </c>
      <c r="G21" s="9">
        <v>100</v>
      </c>
      <c r="H21" s="10">
        <f t="shared" si="0"/>
        <v>600</v>
      </c>
    </row>
    <row r="22" spans="3:8" x14ac:dyDescent="0.3">
      <c r="D22" s="15" t="s">
        <v>114</v>
      </c>
      <c r="E22">
        <v>600</v>
      </c>
      <c r="F22" s="41" t="s">
        <v>67</v>
      </c>
      <c r="G22" s="9">
        <v>4</v>
      </c>
      <c r="H22" s="10">
        <f t="shared" si="0"/>
        <v>2400</v>
      </c>
    </row>
    <row r="23" spans="3:8" x14ac:dyDescent="0.3">
      <c r="D23" t="s">
        <v>64</v>
      </c>
      <c r="E23">
        <v>6</v>
      </c>
      <c r="F23" s="41" t="s">
        <v>60</v>
      </c>
      <c r="G23" s="9">
        <v>400</v>
      </c>
      <c r="H23" s="10">
        <f t="shared" si="0"/>
        <v>2400</v>
      </c>
    </row>
    <row r="24" spans="3:8" x14ac:dyDescent="0.3">
      <c r="D24" t="s">
        <v>54</v>
      </c>
      <c r="E24">
        <v>64</v>
      </c>
      <c r="F24" s="41" t="s">
        <v>58</v>
      </c>
      <c r="G24" s="9">
        <f>VLOOKUP($A$4,zone_lu,4)</f>
        <v>58.866228829999997</v>
      </c>
      <c r="H24" s="10">
        <f t="shared" si="0"/>
        <v>3767.4386451199998</v>
      </c>
    </row>
    <row r="25" spans="3:8" x14ac:dyDescent="0.3">
      <c r="C25" t="s">
        <v>106</v>
      </c>
      <c r="F25" s="41"/>
      <c r="G25" s="9"/>
      <c r="H25" s="10"/>
    </row>
    <row r="26" spans="3:8" x14ac:dyDescent="0.3">
      <c r="D26" t="s">
        <v>111</v>
      </c>
      <c r="E26">
        <v>6</v>
      </c>
      <c r="F26" s="41" t="s">
        <v>62</v>
      </c>
      <c r="G26" s="9">
        <v>400</v>
      </c>
      <c r="H26" s="10">
        <f t="shared" si="0"/>
        <v>2400</v>
      </c>
    </row>
    <row r="27" spans="3:8" x14ac:dyDescent="0.3">
      <c r="C27" t="s">
        <v>128</v>
      </c>
      <c r="F27" s="41"/>
      <c r="G27" s="9"/>
      <c r="H27" s="10"/>
    </row>
    <row r="28" spans="3:8" x14ac:dyDescent="0.3">
      <c r="D28" t="s">
        <v>129</v>
      </c>
      <c r="E28">
        <v>12</v>
      </c>
      <c r="F28" s="41" t="s">
        <v>62</v>
      </c>
      <c r="G28" s="9">
        <v>95</v>
      </c>
      <c r="H28" s="10">
        <f t="shared" si="0"/>
        <v>1140</v>
      </c>
    </row>
    <row r="29" spans="3:8" x14ac:dyDescent="0.3">
      <c r="D29" t="s">
        <v>130</v>
      </c>
      <c r="F29" s="41"/>
      <c r="G29" s="9"/>
      <c r="H29" s="39" t="s">
        <v>112</v>
      </c>
    </row>
    <row r="30" spans="3:8" x14ac:dyDescent="0.3">
      <c r="D30" t="s">
        <v>131</v>
      </c>
      <c r="F30" s="41" t="s">
        <v>67</v>
      </c>
      <c r="G30" s="9"/>
      <c r="H30" s="39" t="s">
        <v>112</v>
      </c>
    </row>
    <row r="31" spans="3:8" x14ac:dyDescent="0.3">
      <c r="D31" t="s">
        <v>54</v>
      </c>
      <c r="E31">
        <v>24</v>
      </c>
      <c r="F31" s="41" t="s">
        <v>58</v>
      </c>
      <c r="G31" s="9">
        <f>VLOOKUP($A$4,zone_lu,4)</f>
        <v>58.866228829999997</v>
      </c>
      <c r="H31" s="10">
        <f t="shared" si="0"/>
        <v>1412.7894919199998</v>
      </c>
    </row>
    <row r="32" spans="3:8" x14ac:dyDescent="0.3">
      <c r="C32" t="s">
        <v>107</v>
      </c>
      <c r="F32" s="41"/>
      <c r="G32" s="9"/>
      <c r="H32" s="10">
        <f t="shared" si="0"/>
        <v>0</v>
      </c>
    </row>
    <row r="33" spans="2:9" x14ac:dyDescent="0.3">
      <c r="D33" t="s">
        <v>64</v>
      </c>
      <c r="E33">
        <v>6</v>
      </c>
      <c r="F33" s="41" t="s">
        <v>60</v>
      </c>
      <c r="G33" s="9">
        <v>250</v>
      </c>
      <c r="H33" s="10">
        <f t="shared" si="0"/>
        <v>1500</v>
      </c>
    </row>
    <row r="34" spans="2:9" x14ac:dyDescent="0.3">
      <c r="D34" t="s">
        <v>54</v>
      </c>
      <c r="E34">
        <v>32</v>
      </c>
      <c r="F34" s="41" t="s">
        <v>58</v>
      </c>
      <c r="G34" s="9">
        <f>VLOOKUP($A$4,zone_lu,4)</f>
        <v>58.866228829999997</v>
      </c>
      <c r="H34" s="10">
        <f t="shared" si="0"/>
        <v>1883.7193225599999</v>
      </c>
    </row>
    <row r="35" spans="2:9" x14ac:dyDescent="0.3">
      <c r="E35" s="11"/>
      <c r="F35" s="42"/>
      <c r="G35" s="12"/>
      <c r="H35" s="13">
        <f>SUBTOTAL(9,H12:H34)</f>
        <v>55303.947459599993</v>
      </c>
    </row>
    <row r="36" spans="2:9" x14ac:dyDescent="0.3">
      <c r="E36" s="16"/>
      <c r="F36" s="43"/>
      <c r="G36" s="17"/>
      <c r="H36" s="18"/>
    </row>
    <row r="37" spans="2:9" x14ac:dyDescent="0.3">
      <c r="B37" s="11"/>
      <c r="C37" s="11" t="s">
        <v>71</v>
      </c>
      <c r="D37" s="11"/>
      <c r="E37" s="11"/>
      <c r="F37" s="42"/>
      <c r="G37" s="12"/>
      <c r="H37" s="13">
        <f>SUBTOTAL(9,H6:H36)</f>
        <v>57216.73695151999</v>
      </c>
    </row>
    <row r="38" spans="2:9" x14ac:dyDescent="0.3">
      <c r="F38" s="41"/>
      <c r="G38" s="9"/>
      <c r="H38" s="10">
        <f t="shared" si="0"/>
        <v>0</v>
      </c>
    </row>
    <row r="39" spans="2:9" x14ac:dyDescent="0.3">
      <c r="B39" t="s">
        <v>104</v>
      </c>
      <c r="E39" s="47">
        <f>VLOOKUP($A$4,zone_lu,5)</f>
        <v>0.15</v>
      </c>
      <c r="F39" s="41"/>
      <c r="G39" s="9"/>
      <c r="H39" s="10">
        <f>ROUND(H37*E39,0)</f>
        <v>8583</v>
      </c>
      <c r="I39" s="10">
        <f>ROUND(I37*F39,0)</f>
        <v>0</v>
      </c>
    </row>
    <row r="40" spans="2:9" x14ac:dyDescent="0.3">
      <c r="E40" s="47"/>
      <c r="F40" s="41"/>
      <c r="G40" s="9"/>
      <c r="H40" s="10"/>
      <c r="I40" s="10"/>
    </row>
    <row r="41" spans="2:9" x14ac:dyDescent="0.3">
      <c r="B41" t="s">
        <v>103</v>
      </c>
      <c r="E41" s="47">
        <f>VLOOKUP($A$4,zone_lu,6)</f>
        <v>0.1</v>
      </c>
      <c r="F41" s="41"/>
      <c r="G41" s="9"/>
      <c r="H41" s="10">
        <f>ROUND(SUM(H37:H40)*E41,0)</f>
        <v>6580</v>
      </c>
      <c r="I41" s="10"/>
    </row>
    <row r="42" spans="2:9" x14ac:dyDescent="0.3">
      <c r="E42" s="47"/>
      <c r="F42" s="41"/>
      <c r="G42" s="9"/>
      <c r="H42" s="10"/>
      <c r="I42" s="10"/>
    </row>
    <row r="43" spans="2:9" x14ac:dyDescent="0.3">
      <c r="B43" t="s">
        <v>127</v>
      </c>
      <c r="E43" s="47">
        <f>VLOOKUP($A$4,zone_lu,7)</f>
        <v>1.2500000000000001E-2</v>
      </c>
      <c r="F43" s="41"/>
      <c r="G43" s="9"/>
      <c r="H43" s="10">
        <f>ROUND(SUM(H37:H42)*E43,0)</f>
        <v>905</v>
      </c>
      <c r="I43" s="10"/>
    </row>
    <row r="44" spans="2:9" x14ac:dyDescent="0.3">
      <c r="E44" s="47"/>
      <c r="F44" s="41"/>
      <c r="G44" s="9"/>
      <c r="H44" s="10"/>
      <c r="I44" s="10"/>
    </row>
    <row r="45" spans="2:9" x14ac:dyDescent="0.3">
      <c r="B45" t="s">
        <v>105</v>
      </c>
      <c r="E45" s="47">
        <f>VLOOKUP($A$4,zone_lu,8)</f>
        <v>0</v>
      </c>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73284.736951519997</v>
      </c>
    </row>
    <row r="49" ht="15" thickTop="1" x14ac:dyDescent="0.3"/>
  </sheetData>
  <mergeCells count="1">
    <mergeCell ref="A4:C4"/>
  </mergeCell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113"/>
  <dimension ref="A1:O49"/>
  <sheetViews>
    <sheetView showGridLines="0" topLeftCell="A7"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1990's</v>
      </c>
    </row>
    <row r="2" spans="1:15" x14ac:dyDescent="0.3">
      <c r="A2" t="s">
        <v>10</v>
      </c>
    </row>
    <row r="3" spans="1:15" x14ac:dyDescent="0.3">
      <c r="A3" t="s">
        <v>70</v>
      </c>
    </row>
    <row r="4" spans="1:15" ht="14.4" customHeight="1" x14ac:dyDescent="0.3">
      <c r="A4" s="88">
        <v>3</v>
      </c>
      <c r="B4" s="88"/>
      <c r="C4" s="88"/>
    </row>
    <row r="6" spans="1:15" x14ac:dyDescent="0.3">
      <c r="B6" t="s">
        <v>50</v>
      </c>
      <c r="F6" s="41"/>
      <c r="G6" s="9"/>
      <c r="H6" s="8"/>
    </row>
    <row r="7" spans="1:15" x14ac:dyDescent="0.3">
      <c r="C7" t="s">
        <v>55</v>
      </c>
      <c r="F7" s="41"/>
      <c r="G7" s="9"/>
      <c r="H7" s="8"/>
    </row>
    <row r="8" spans="1:15" x14ac:dyDescent="0.3">
      <c r="D8" t="s">
        <v>54</v>
      </c>
      <c r="E8">
        <v>24</v>
      </c>
      <c r="F8" s="41" t="s">
        <v>58</v>
      </c>
      <c r="G8" s="9">
        <f>VLOOKUP($A$4,zone_lu,4)</f>
        <v>58.866228829999997</v>
      </c>
      <c r="H8" s="10">
        <f>E8*G8</f>
        <v>1412.7894919199998</v>
      </c>
    </row>
    <row r="9" spans="1:15" x14ac:dyDescent="0.3">
      <c r="D9" t="s">
        <v>59</v>
      </c>
      <c r="E9">
        <v>1</v>
      </c>
      <c r="F9" s="41" t="s">
        <v>60</v>
      </c>
      <c r="G9" s="9">
        <v>500</v>
      </c>
      <c r="H9" s="10">
        <f t="shared" ref="H9:H38" si="0">E9*G9</f>
        <v>500</v>
      </c>
    </row>
    <row r="10" spans="1:15" x14ac:dyDescent="0.3">
      <c r="E10" s="11"/>
      <c r="F10" s="42"/>
      <c r="G10" s="12"/>
      <c r="H10" s="13">
        <f>SUBTOTAL(9,H6:H9)</f>
        <v>1912.7894919199998</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39" t="s">
        <v>117</v>
      </c>
    </row>
    <row r="14" spans="1:15" x14ac:dyDescent="0.3">
      <c r="D14" t="s">
        <v>61</v>
      </c>
      <c r="F14" s="41"/>
      <c r="G14" s="28"/>
      <c r="H14" s="10"/>
    </row>
    <row r="15" spans="1:15" x14ac:dyDescent="0.3">
      <c r="D15" s="22" t="s">
        <v>73</v>
      </c>
      <c r="F15" s="41"/>
      <c r="G15" s="10"/>
      <c r="H15" s="10"/>
    </row>
    <row r="16" spans="1:15" x14ac:dyDescent="0.3">
      <c r="D16" s="23" t="s">
        <v>64</v>
      </c>
      <c r="F16" s="41"/>
      <c r="G16" s="10"/>
      <c r="H16" s="10"/>
    </row>
    <row r="17" spans="3:8" x14ac:dyDescent="0.3">
      <c r="D17" s="23" t="s">
        <v>54</v>
      </c>
      <c r="F17" s="41"/>
      <c r="G17" s="10"/>
      <c r="H17" s="10"/>
    </row>
    <row r="18" spans="3:8" x14ac:dyDescent="0.3">
      <c r="C18" t="s">
        <v>52</v>
      </c>
      <c r="D18" s="23"/>
      <c r="F18" s="41"/>
      <c r="G18" s="9"/>
      <c r="H18" s="10">
        <f t="shared" ref="H18" si="1">E18*G18</f>
        <v>0</v>
      </c>
    </row>
    <row r="19" spans="3:8" x14ac:dyDescent="0.3">
      <c r="D19" s="23" t="s">
        <v>66</v>
      </c>
      <c r="E19">
        <v>6</v>
      </c>
      <c r="F19" s="41" t="s">
        <v>62</v>
      </c>
      <c r="G19" s="29">
        <v>5200</v>
      </c>
      <c r="H19" s="10">
        <f t="shared" si="0"/>
        <v>31200</v>
      </c>
    </row>
    <row r="20" spans="3:8" ht="28.95" customHeight="1" x14ac:dyDescent="0.3">
      <c r="D20" s="24" t="s">
        <v>95</v>
      </c>
      <c r="F20" s="41"/>
      <c r="G20" s="9"/>
      <c r="H20" s="10">
        <f t="shared" si="0"/>
        <v>0</v>
      </c>
    </row>
    <row r="21" spans="3:8" x14ac:dyDescent="0.3">
      <c r="D21" s="15" t="s">
        <v>68</v>
      </c>
      <c r="E21">
        <v>6</v>
      </c>
      <c r="F21" s="41" t="s">
        <v>62</v>
      </c>
      <c r="G21" s="9">
        <v>100</v>
      </c>
      <c r="H21" s="10">
        <f t="shared" si="0"/>
        <v>600</v>
      </c>
    </row>
    <row r="22" spans="3:8" x14ac:dyDescent="0.3">
      <c r="D22" s="15" t="s">
        <v>114</v>
      </c>
      <c r="E22">
        <v>600</v>
      </c>
      <c r="F22" s="41" t="s">
        <v>67</v>
      </c>
      <c r="G22" s="9">
        <v>4</v>
      </c>
      <c r="H22" s="10">
        <f t="shared" si="0"/>
        <v>2400</v>
      </c>
    </row>
    <row r="23" spans="3:8" x14ac:dyDescent="0.3">
      <c r="D23" t="s">
        <v>64</v>
      </c>
      <c r="E23">
        <v>6</v>
      </c>
      <c r="F23" s="41" t="s">
        <v>60</v>
      </c>
      <c r="G23" s="9">
        <v>400</v>
      </c>
      <c r="H23" s="10">
        <f t="shared" si="0"/>
        <v>2400</v>
      </c>
    </row>
    <row r="24" spans="3:8" x14ac:dyDescent="0.3">
      <c r="D24" t="s">
        <v>54</v>
      </c>
      <c r="E24">
        <v>64</v>
      </c>
      <c r="F24" s="41" t="s">
        <v>58</v>
      </c>
      <c r="G24" s="9">
        <f>VLOOKUP($A$4,zone_lu,4)</f>
        <v>58.866228829999997</v>
      </c>
      <c r="H24" s="10">
        <f t="shared" si="0"/>
        <v>3767.4386451199998</v>
      </c>
    </row>
    <row r="25" spans="3:8" x14ac:dyDescent="0.3">
      <c r="C25" t="s">
        <v>106</v>
      </c>
      <c r="F25" s="41"/>
      <c r="G25" s="9"/>
      <c r="H25" s="10"/>
    </row>
    <row r="26" spans="3:8" x14ac:dyDescent="0.3">
      <c r="D26" t="s">
        <v>111</v>
      </c>
      <c r="E26">
        <v>6</v>
      </c>
      <c r="F26" s="41" t="s">
        <v>62</v>
      </c>
      <c r="G26" s="9">
        <v>400</v>
      </c>
      <c r="H26" s="10">
        <f t="shared" si="0"/>
        <v>2400</v>
      </c>
    </row>
    <row r="27" spans="3:8" x14ac:dyDescent="0.3">
      <c r="C27" t="s">
        <v>128</v>
      </c>
      <c r="F27" s="41"/>
      <c r="G27" s="9"/>
      <c r="H27" s="10"/>
    </row>
    <row r="28" spans="3:8" x14ac:dyDescent="0.3">
      <c r="D28" t="s">
        <v>129</v>
      </c>
      <c r="E28">
        <v>12</v>
      </c>
      <c r="F28" s="41" t="s">
        <v>62</v>
      </c>
      <c r="G28" s="9">
        <v>95</v>
      </c>
      <c r="H28" s="10">
        <f t="shared" si="0"/>
        <v>1140</v>
      </c>
    </row>
    <row r="29" spans="3:8" x14ac:dyDescent="0.3">
      <c r="D29" t="s">
        <v>130</v>
      </c>
      <c r="F29" s="41"/>
      <c r="G29" s="9"/>
      <c r="H29" s="39" t="s">
        <v>112</v>
      </c>
    </row>
    <row r="30" spans="3:8" x14ac:dyDescent="0.3">
      <c r="D30" t="s">
        <v>131</v>
      </c>
      <c r="F30" s="41" t="s">
        <v>67</v>
      </c>
      <c r="G30" s="9"/>
      <c r="H30" s="39" t="s">
        <v>112</v>
      </c>
    </row>
    <row r="31" spans="3:8" x14ac:dyDescent="0.3">
      <c r="D31" t="s">
        <v>54</v>
      </c>
      <c r="E31">
        <v>24</v>
      </c>
      <c r="F31" s="41" t="s">
        <v>58</v>
      </c>
      <c r="G31" s="9">
        <f>VLOOKUP($A$4,zone_lu,4)</f>
        <v>58.866228829999997</v>
      </c>
      <c r="H31" s="10">
        <f t="shared" si="0"/>
        <v>1412.7894919199998</v>
      </c>
    </row>
    <row r="32" spans="3:8" x14ac:dyDescent="0.3">
      <c r="C32" t="s">
        <v>107</v>
      </c>
      <c r="F32" s="41"/>
      <c r="G32" s="9"/>
      <c r="H32" s="10">
        <f t="shared" si="0"/>
        <v>0</v>
      </c>
    </row>
    <row r="33" spans="2:9" x14ac:dyDescent="0.3">
      <c r="D33" t="s">
        <v>64</v>
      </c>
      <c r="E33">
        <v>6</v>
      </c>
      <c r="F33" s="41" t="s">
        <v>60</v>
      </c>
      <c r="G33" s="9">
        <v>250</v>
      </c>
      <c r="H33" s="10">
        <f t="shared" si="0"/>
        <v>1500</v>
      </c>
    </row>
    <row r="34" spans="2:9" x14ac:dyDescent="0.3">
      <c r="D34" t="s">
        <v>54</v>
      </c>
      <c r="E34">
        <v>32</v>
      </c>
      <c r="F34" s="41" t="s">
        <v>58</v>
      </c>
      <c r="G34" s="9">
        <f>VLOOKUP($A$4,zone_lu,4)</f>
        <v>58.866228829999997</v>
      </c>
      <c r="H34" s="10">
        <f t="shared" si="0"/>
        <v>1883.7193225599999</v>
      </c>
    </row>
    <row r="35" spans="2:9" x14ac:dyDescent="0.3">
      <c r="E35" s="11"/>
      <c r="F35" s="42"/>
      <c r="G35" s="12"/>
      <c r="H35" s="13">
        <f>SUBTOTAL(9,H12:H34)</f>
        <v>48703.947459599993</v>
      </c>
    </row>
    <row r="36" spans="2:9" x14ac:dyDescent="0.3">
      <c r="E36" s="16"/>
      <c r="F36" s="43"/>
      <c r="G36" s="17"/>
      <c r="H36" s="18"/>
    </row>
    <row r="37" spans="2:9" x14ac:dyDescent="0.3">
      <c r="B37" s="11"/>
      <c r="C37" s="11" t="s">
        <v>71</v>
      </c>
      <c r="D37" s="11"/>
      <c r="E37" s="11"/>
      <c r="F37" s="42"/>
      <c r="G37" s="12"/>
      <c r="H37" s="13">
        <f>SUBTOTAL(9,H6:H36)</f>
        <v>50616.73695151999</v>
      </c>
    </row>
    <row r="38" spans="2:9" x14ac:dyDescent="0.3">
      <c r="F38" s="41"/>
      <c r="G38" s="9"/>
      <c r="H38" s="10">
        <f t="shared" si="0"/>
        <v>0</v>
      </c>
    </row>
    <row r="39" spans="2:9" x14ac:dyDescent="0.3">
      <c r="B39" t="s">
        <v>104</v>
      </c>
      <c r="E39" s="47">
        <f>VLOOKUP($A$4,zone_lu,5)</f>
        <v>0.15</v>
      </c>
      <c r="F39" s="41"/>
      <c r="G39" s="9"/>
      <c r="H39" s="10">
        <f>ROUND(H37*E39,0)</f>
        <v>7593</v>
      </c>
      <c r="I39" s="10">
        <f>ROUND(I37*F39,0)</f>
        <v>0</v>
      </c>
    </row>
    <row r="40" spans="2:9" x14ac:dyDescent="0.3">
      <c r="E40" s="47"/>
      <c r="F40" s="41"/>
      <c r="G40" s="9"/>
      <c r="H40" s="10"/>
      <c r="I40" s="10"/>
    </row>
    <row r="41" spans="2:9" x14ac:dyDescent="0.3">
      <c r="B41" t="s">
        <v>103</v>
      </c>
      <c r="E41" s="47">
        <f>VLOOKUP($A$4,zone_lu,6)</f>
        <v>0.1</v>
      </c>
      <c r="F41" s="41"/>
      <c r="G41" s="9"/>
      <c r="H41" s="10">
        <f>ROUND(SUM(H37:H40)*E41,0)</f>
        <v>5821</v>
      </c>
      <c r="I41" s="10"/>
    </row>
    <row r="42" spans="2:9" x14ac:dyDescent="0.3">
      <c r="E42" s="47"/>
      <c r="F42" s="41"/>
      <c r="G42" s="9"/>
      <c r="H42" s="10"/>
      <c r="I42" s="10"/>
    </row>
    <row r="43" spans="2:9" x14ac:dyDescent="0.3">
      <c r="B43" t="s">
        <v>127</v>
      </c>
      <c r="E43" s="47">
        <f>VLOOKUP($A$4,zone_lu,7)</f>
        <v>1.2500000000000001E-2</v>
      </c>
      <c r="F43" s="41"/>
      <c r="G43" s="9"/>
      <c r="H43" s="10">
        <f>ROUND(SUM(H37:H42)*E43,0)</f>
        <v>800</v>
      </c>
      <c r="I43" s="10"/>
    </row>
    <row r="44" spans="2:9" x14ac:dyDescent="0.3">
      <c r="E44" s="47"/>
      <c r="F44" s="41"/>
      <c r="G44" s="9"/>
      <c r="H44" s="10"/>
      <c r="I44" s="10"/>
    </row>
    <row r="45" spans="2:9" x14ac:dyDescent="0.3">
      <c r="B45" t="s">
        <v>105</v>
      </c>
      <c r="E45" s="47">
        <f>VLOOKUP($A$4,zone_lu,8)</f>
        <v>0</v>
      </c>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64830.73695151999</v>
      </c>
    </row>
    <row r="49" ht="15" thickTop="1" x14ac:dyDescent="0.3"/>
  </sheetData>
  <mergeCells count="1">
    <mergeCell ref="A4:C4"/>
  </mergeCell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114"/>
  <dimension ref="A1:O49"/>
  <sheetViews>
    <sheetView showGridLines="0" topLeftCell="A7"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1990's</v>
      </c>
    </row>
    <row r="2" spans="1:15" x14ac:dyDescent="0.3">
      <c r="A2" t="s">
        <v>10</v>
      </c>
    </row>
    <row r="3" spans="1:15" x14ac:dyDescent="0.3">
      <c r="A3" t="s">
        <v>70</v>
      </c>
    </row>
    <row r="4" spans="1:15" ht="14.4" customHeight="1" x14ac:dyDescent="0.3">
      <c r="A4" s="88">
        <v>3</v>
      </c>
      <c r="B4" s="88"/>
      <c r="C4" s="88"/>
    </row>
    <row r="6" spans="1:15" x14ac:dyDescent="0.3">
      <c r="B6" t="s">
        <v>50</v>
      </c>
      <c r="F6" s="41"/>
      <c r="G6" s="9"/>
      <c r="H6" s="8"/>
    </row>
    <row r="7" spans="1:15" x14ac:dyDescent="0.3">
      <c r="C7" t="s">
        <v>55</v>
      </c>
      <c r="F7" s="41"/>
      <c r="G7" s="9"/>
      <c r="H7" s="8"/>
    </row>
    <row r="8" spans="1:15" x14ac:dyDescent="0.3">
      <c r="D8" t="s">
        <v>54</v>
      </c>
      <c r="E8">
        <v>24</v>
      </c>
      <c r="F8" s="41" t="s">
        <v>58</v>
      </c>
      <c r="G8" s="9">
        <f>VLOOKUP($A$4,zone_lu,4)</f>
        <v>58.866228829999997</v>
      </c>
      <c r="H8" s="10">
        <f>E8*G8</f>
        <v>1412.7894919199998</v>
      </c>
    </row>
    <row r="9" spans="1:15" x14ac:dyDescent="0.3">
      <c r="D9" t="s">
        <v>59</v>
      </c>
      <c r="E9">
        <v>1</v>
      </c>
      <c r="F9" s="41" t="s">
        <v>60</v>
      </c>
      <c r="G9" s="9">
        <v>500</v>
      </c>
      <c r="H9" s="10">
        <f t="shared" ref="H9:H38" si="0">E9*G9</f>
        <v>500</v>
      </c>
    </row>
    <row r="10" spans="1:15" x14ac:dyDescent="0.3">
      <c r="E10" s="11"/>
      <c r="F10" s="42"/>
      <c r="G10" s="12"/>
      <c r="H10" s="13">
        <f>SUBTOTAL(9,H6:H9)</f>
        <v>1912.7894919199998</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39" t="s">
        <v>117</v>
      </c>
    </row>
    <row r="14" spans="1:15" x14ac:dyDescent="0.3">
      <c r="D14" t="s">
        <v>61</v>
      </c>
      <c r="F14" s="41"/>
      <c r="G14" s="28"/>
      <c r="H14" s="10"/>
    </row>
    <row r="15" spans="1:15" x14ac:dyDescent="0.3">
      <c r="D15" s="22" t="s">
        <v>73</v>
      </c>
      <c r="F15" s="41"/>
      <c r="G15" s="10"/>
      <c r="H15" s="10"/>
    </row>
    <row r="16" spans="1:15" x14ac:dyDescent="0.3">
      <c r="D16" s="23" t="s">
        <v>64</v>
      </c>
      <c r="F16" s="41"/>
      <c r="G16" s="10"/>
      <c r="H16" s="10"/>
    </row>
    <row r="17" spans="3:8" x14ac:dyDescent="0.3">
      <c r="D17" s="23" t="s">
        <v>54</v>
      </c>
      <c r="F17" s="41"/>
      <c r="G17" s="10"/>
      <c r="H17" s="10"/>
    </row>
    <row r="18" spans="3:8" x14ac:dyDescent="0.3">
      <c r="C18" t="s">
        <v>52</v>
      </c>
      <c r="D18" s="23"/>
      <c r="F18" s="41"/>
      <c r="G18" s="9"/>
      <c r="H18" s="10">
        <f t="shared" ref="H18" si="1">E18*G18</f>
        <v>0</v>
      </c>
    </row>
    <row r="19" spans="3:8" x14ac:dyDescent="0.3">
      <c r="D19" s="23" t="s">
        <v>66</v>
      </c>
      <c r="E19">
        <v>6</v>
      </c>
      <c r="F19" s="41" t="s">
        <v>62</v>
      </c>
      <c r="G19" s="29">
        <v>6800</v>
      </c>
      <c r="H19" s="10">
        <f t="shared" si="0"/>
        <v>40800</v>
      </c>
    </row>
    <row r="20" spans="3:8" ht="30" customHeight="1" x14ac:dyDescent="0.3">
      <c r="D20" s="24" t="s">
        <v>96</v>
      </c>
      <c r="F20" s="41"/>
      <c r="G20" s="9"/>
      <c r="H20" s="10">
        <f t="shared" si="0"/>
        <v>0</v>
      </c>
    </row>
    <row r="21" spans="3:8" x14ac:dyDescent="0.3">
      <c r="D21" s="15" t="s">
        <v>68</v>
      </c>
      <c r="E21">
        <v>6</v>
      </c>
      <c r="F21" s="41" t="s">
        <v>62</v>
      </c>
      <c r="G21" s="9">
        <v>100</v>
      </c>
      <c r="H21" s="10">
        <f t="shared" si="0"/>
        <v>600</v>
      </c>
    </row>
    <row r="22" spans="3:8" x14ac:dyDescent="0.3">
      <c r="D22" s="15" t="s">
        <v>114</v>
      </c>
      <c r="E22">
        <v>600</v>
      </c>
      <c r="F22" s="41" t="s">
        <v>67</v>
      </c>
      <c r="G22" s="9">
        <v>4</v>
      </c>
      <c r="H22" s="10">
        <f t="shared" si="0"/>
        <v>2400</v>
      </c>
    </row>
    <row r="23" spans="3:8" x14ac:dyDescent="0.3">
      <c r="D23" t="s">
        <v>64</v>
      </c>
      <c r="E23">
        <v>6</v>
      </c>
      <c r="F23" s="41" t="s">
        <v>60</v>
      </c>
      <c r="G23" s="9">
        <v>400</v>
      </c>
      <c r="H23" s="10">
        <f t="shared" si="0"/>
        <v>2400</v>
      </c>
    </row>
    <row r="24" spans="3:8" x14ac:dyDescent="0.3">
      <c r="D24" t="s">
        <v>54</v>
      </c>
      <c r="E24">
        <v>64</v>
      </c>
      <c r="F24" s="41" t="s">
        <v>58</v>
      </c>
      <c r="G24" s="9">
        <f>VLOOKUP($A$4,zone_lu,4)</f>
        <v>58.866228829999997</v>
      </c>
      <c r="H24" s="10">
        <f t="shared" si="0"/>
        <v>3767.4386451199998</v>
      </c>
    </row>
    <row r="25" spans="3:8" x14ac:dyDescent="0.3">
      <c r="C25" t="s">
        <v>106</v>
      </c>
      <c r="F25" s="41"/>
      <c r="G25" s="9"/>
      <c r="H25" s="10"/>
    </row>
    <row r="26" spans="3:8" x14ac:dyDescent="0.3">
      <c r="D26" t="s">
        <v>111</v>
      </c>
      <c r="E26">
        <v>6</v>
      </c>
      <c r="F26" s="41" t="s">
        <v>62</v>
      </c>
      <c r="G26" s="9">
        <v>400</v>
      </c>
      <c r="H26" s="10">
        <f t="shared" si="0"/>
        <v>2400</v>
      </c>
    </row>
    <row r="27" spans="3:8" x14ac:dyDescent="0.3">
      <c r="C27" t="s">
        <v>128</v>
      </c>
      <c r="F27" s="41"/>
      <c r="G27" s="9"/>
      <c r="H27" s="10"/>
    </row>
    <row r="28" spans="3:8" x14ac:dyDescent="0.3">
      <c r="D28" t="s">
        <v>129</v>
      </c>
      <c r="E28">
        <v>12</v>
      </c>
      <c r="F28" s="41" t="s">
        <v>62</v>
      </c>
      <c r="G28" s="9">
        <v>95</v>
      </c>
      <c r="H28" s="10">
        <f t="shared" si="0"/>
        <v>1140</v>
      </c>
    </row>
    <row r="29" spans="3:8" x14ac:dyDescent="0.3">
      <c r="D29" t="s">
        <v>130</v>
      </c>
      <c r="F29" s="41"/>
      <c r="G29" s="9"/>
      <c r="H29" s="39" t="s">
        <v>112</v>
      </c>
    </row>
    <row r="30" spans="3:8" x14ac:dyDescent="0.3">
      <c r="D30" t="s">
        <v>131</v>
      </c>
      <c r="F30" s="41" t="s">
        <v>67</v>
      </c>
      <c r="G30" s="9"/>
      <c r="H30" s="39" t="s">
        <v>112</v>
      </c>
    </row>
    <row r="31" spans="3:8" x14ac:dyDescent="0.3">
      <c r="D31" t="s">
        <v>54</v>
      </c>
      <c r="E31">
        <v>24</v>
      </c>
      <c r="F31" s="41" t="s">
        <v>58</v>
      </c>
      <c r="G31" s="9">
        <f>VLOOKUP($A$4,zone_lu,4)</f>
        <v>58.866228829999997</v>
      </c>
      <c r="H31" s="10">
        <f t="shared" si="0"/>
        <v>1412.7894919199998</v>
      </c>
    </row>
    <row r="32" spans="3:8" x14ac:dyDescent="0.3">
      <c r="C32" t="s">
        <v>107</v>
      </c>
      <c r="F32" s="41"/>
      <c r="G32" s="9"/>
      <c r="H32" s="10">
        <f t="shared" si="0"/>
        <v>0</v>
      </c>
    </row>
    <row r="33" spans="2:9" x14ac:dyDescent="0.3">
      <c r="D33" t="s">
        <v>64</v>
      </c>
      <c r="E33">
        <v>6</v>
      </c>
      <c r="F33" s="41" t="s">
        <v>60</v>
      </c>
      <c r="G33" s="9">
        <v>250</v>
      </c>
      <c r="H33" s="10">
        <f t="shared" si="0"/>
        <v>1500</v>
      </c>
    </row>
    <row r="34" spans="2:9" x14ac:dyDescent="0.3">
      <c r="D34" t="s">
        <v>54</v>
      </c>
      <c r="E34">
        <v>32</v>
      </c>
      <c r="F34" s="41" t="s">
        <v>58</v>
      </c>
      <c r="G34" s="9">
        <f>VLOOKUP($A$4,zone_lu,4)</f>
        <v>58.866228829999997</v>
      </c>
      <c r="H34" s="10">
        <f t="shared" si="0"/>
        <v>1883.7193225599999</v>
      </c>
    </row>
    <row r="35" spans="2:9" x14ac:dyDescent="0.3">
      <c r="E35" s="11"/>
      <c r="F35" s="42"/>
      <c r="G35" s="12"/>
      <c r="H35" s="13">
        <f>SUBTOTAL(9,H12:H34)</f>
        <v>58303.947459599993</v>
      </c>
    </row>
    <row r="36" spans="2:9" x14ac:dyDescent="0.3">
      <c r="E36" s="16"/>
      <c r="F36" s="43"/>
      <c r="G36" s="17"/>
      <c r="H36" s="18"/>
    </row>
    <row r="37" spans="2:9" x14ac:dyDescent="0.3">
      <c r="B37" s="11"/>
      <c r="C37" s="11" t="s">
        <v>71</v>
      </c>
      <c r="D37" s="11"/>
      <c r="E37" s="11"/>
      <c r="F37" s="42"/>
      <c r="G37" s="12"/>
      <c r="H37" s="13">
        <f>SUBTOTAL(9,H6:H36)</f>
        <v>60216.73695151999</v>
      </c>
    </row>
    <row r="38" spans="2:9" x14ac:dyDescent="0.3">
      <c r="F38" s="41"/>
      <c r="G38" s="9"/>
      <c r="H38" s="10">
        <f t="shared" si="0"/>
        <v>0</v>
      </c>
    </row>
    <row r="39" spans="2:9" x14ac:dyDescent="0.3">
      <c r="B39" t="s">
        <v>104</v>
      </c>
      <c r="E39" s="47">
        <f>VLOOKUP($A$4,zone_lu,5)</f>
        <v>0.15</v>
      </c>
      <c r="F39" s="41"/>
      <c r="G39" s="9"/>
      <c r="H39" s="10">
        <f>ROUND(H37*E39,0)</f>
        <v>9033</v>
      </c>
      <c r="I39" s="10">
        <f>ROUND(I37*F39,0)</f>
        <v>0</v>
      </c>
    </row>
    <row r="40" spans="2:9" x14ac:dyDescent="0.3">
      <c r="E40" s="47"/>
      <c r="F40" s="41"/>
      <c r="G40" s="9"/>
      <c r="H40" s="10"/>
      <c r="I40" s="10"/>
    </row>
    <row r="41" spans="2:9" x14ac:dyDescent="0.3">
      <c r="B41" t="s">
        <v>103</v>
      </c>
      <c r="E41" s="47">
        <f>VLOOKUP($A$4,zone_lu,6)</f>
        <v>0.1</v>
      </c>
      <c r="F41" s="41"/>
      <c r="G41" s="9"/>
      <c r="H41" s="10">
        <f>ROUND(SUM(H37:H40)*E41,0)</f>
        <v>6925</v>
      </c>
      <c r="I41" s="10"/>
    </row>
    <row r="42" spans="2:9" x14ac:dyDescent="0.3">
      <c r="E42" s="47"/>
      <c r="F42" s="41"/>
      <c r="G42" s="9"/>
      <c r="H42" s="10"/>
      <c r="I42" s="10"/>
    </row>
    <row r="43" spans="2:9" x14ac:dyDescent="0.3">
      <c r="B43" t="s">
        <v>127</v>
      </c>
      <c r="E43" s="47">
        <f>VLOOKUP($A$4,zone_lu,7)</f>
        <v>1.2500000000000001E-2</v>
      </c>
      <c r="F43" s="41"/>
      <c r="G43" s="9"/>
      <c r="H43" s="10">
        <f>ROUND(SUM(H37:H42)*E43,0)</f>
        <v>952</v>
      </c>
      <c r="I43" s="10"/>
    </row>
    <row r="44" spans="2:9" x14ac:dyDescent="0.3">
      <c r="E44" s="47"/>
      <c r="F44" s="41"/>
      <c r="G44" s="9"/>
      <c r="H44" s="10"/>
      <c r="I44" s="10"/>
    </row>
    <row r="45" spans="2:9" x14ac:dyDescent="0.3">
      <c r="B45" t="s">
        <v>105</v>
      </c>
      <c r="E45" s="47">
        <f>VLOOKUP($A$4,zone_lu,8)</f>
        <v>0</v>
      </c>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77126.736951519997</v>
      </c>
    </row>
    <row r="49" ht="15" thickTop="1" x14ac:dyDescent="0.3"/>
  </sheetData>
  <mergeCells count="1">
    <mergeCell ref="A4:C4"/>
  </mergeCell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18"/>
  <dimension ref="A1:O49"/>
  <sheetViews>
    <sheetView showGridLines="0" topLeftCell="A7"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1990's</v>
      </c>
    </row>
    <row r="2" spans="1:15" x14ac:dyDescent="0.3">
      <c r="A2" t="s">
        <v>10</v>
      </c>
    </row>
    <row r="3" spans="1:15" x14ac:dyDescent="0.3">
      <c r="A3" t="s">
        <v>70</v>
      </c>
    </row>
    <row r="4" spans="1:15" ht="14.4" customHeight="1" x14ac:dyDescent="0.3">
      <c r="A4" s="88">
        <v>4</v>
      </c>
      <c r="B4" s="88"/>
      <c r="C4" s="88"/>
    </row>
    <row r="6" spans="1:15" x14ac:dyDescent="0.3">
      <c r="B6" t="s">
        <v>50</v>
      </c>
      <c r="F6" s="41"/>
      <c r="G6" s="9"/>
      <c r="H6" s="8"/>
    </row>
    <row r="7" spans="1:15" x14ac:dyDescent="0.3">
      <c r="C7" t="s">
        <v>55</v>
      </c>
      <c r="F7" s="41"/>
      <c r="G7" s="9"/>
      <c r="H7" s="8"/>
    </row>
    <row r="8" spans="1:15" x14ac:dyDescent="0.3">
      <c r="D8" t="s">
        <v>54</v>
      </c>
      <c r="E8">
        <v>24</v>
      </c>
      <c r="F8" s="41" t="s">
        <v>58</v>
      </c>
      <c r="G8" s="9">
        <f>VLOOKUP($A$4,zone_lu,4)</f>
        <v>58.866228829999997</v>
      </c>
      <c r="H8" s="10">
        <f>E8*G8</f>
        <v>1412.7894919199998</v>
      </c>
    </row>
    <row r="9" spans="1:15" x14ac:dyDescent="0.3">
      <c r="D9" t="s">
        <v>59</v>
      </c>
      <c r="E9">
        <v>1</v>
      </c>
      <c r="F9" s="41" t="s">
        <v>60</v>
      </c>
      <c r="G9" s="9">
        <v>500</v>
      </c>
      <c r="H9" s="10">
        <f t="shared" ref="H9:H38" si="0">E9*G9</f>
        <v>500</v>
      </c>
    </row>
    <row r="10" spans="1:15" x14ac:dyDescent="0.3">
      <c r="E10" s="11"/>
      <c r="F10" s="42"/>
      <c r="G10" s="12"/>
      <c r="H10" s="13">
        <f>SUBTOTAL(9,H6:H9)</f>
        <v>1912.7894919199998</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39" t="s">
        <v>117</v>
      </c>
    </row>
    <row r="14" spans="1:15" x14ac:dyDescent="0.3">
      <c r="D14" t="s">
        <v>61</v>
      </c>
      <c r="F14" s="41"/>
      <c r="G14" s="28"/>
      <c r="H14" s="10"/>
    </row>
    <row r="15" spans="1:15" x14ac:dyDescent="0.3">
      <c r="D15" s="22" t="s">
        <v>73</v>
      </c>
      <c r="F15" s="41"/>
      <c r="G15" s="10"/>
      <c r="H15" s="10"/>
    </row>
    <row r="16" spans="1:15" x14ac:dyDescent="0.3">
      <c r="D16" t="s">
        <v>64</v>
      </c>
      <c r="F16" s="41"/>
      <c r="G16" s="10"/>
      <c r="H16" s="10"/>
    </row>
    <row r="17" spans="3:8" x14ac:dyDescent="0.3">
      <c r="D17" t="s">
        <v>54</v>
      </c>
      <c r="F17" s="41"/>
      <c r="G17" s="10"/>
      <c r="H17" s="10"/>
    </row>
    <row r="18" spans="3:8" x14ac:dyDescent="0.3">
      <c r="C18" t="s">
        <v>52</v>
      </c>
      <c r="F18" s="41"/>
      <c r="G18" s="9"/>
      <c r="H18" s="10">
        <f t="shared" ref="H18" si="1">E18*G18</f>
        <v>0</v>
      </c>
    </row>
    <row r="19" spans="3:8" x14ac:dyDescent="0.3">
      <c r="D19" t="s">
        <v>66</v>
      </c>
      <c r="E19">
        <v>6</v>
      </c>
      <c r="F19" s="41" t="s">
        <v>62</v>
      </c>
      <c r="G19" s="29">
        <v>5900</v>
      </c>
      <c r="H19" s="10">
        <f t="shared" si="0"/>
        <v>35400</v>
      </c>
    </row>
    <row r="20" spans="3:8" ht="28.2" customHeight="1" x14ac:dyDescent="0.3">
      <c r="D20" s="24" t="s">
        <v>85</v>
      </c>
      <c r="E20" s="26"/>
      <c r="F20" s="41"/>
      <c r="G20" s="9"/>
      <c r="H20" s="10">
        <f t="shared" si="0"/>
        <v>0</v>
      </c>
    </row>
    <row r="21" spans="3:8" x14ac:dyDescent="0.3">
      <c r="D21" s="15" t="s">
        <v>68</v>
      </c>
      <c r="E21">
        <v>6</v>
      </c>
      <c r="F21" s="41" t="s">
        <v>62</v>
      </c>
      <c r="G21" s="9">
        <v>100</v>
      </c>
      <c r="H21" s="10">
        <f t="shared" si="0"/>
        <v>600</v>
      </c>
    </row>
    <row r="22" spans="3:8" x14ac:dyDescent="0.3">
      <c r="D22" s="15" t="s">
        <v>114</v>
      </c>
      <c r="E22">
        <v>600</v>
      </c>
      <c r="F22" s="41" t="s">
        <v>67</v>
      </c>
      <c r="G22" s="9">
        <v>4</v>
      </c>
      <c r="H22" s="10">
        <f t="shared" si="0"/>
        <v>2400</v>
      </c>
    </row>
    <row r="23" spans="3:8" x14ac:dyDescent="0.3">
      <c r="D23" t="s">
        <v>64</v>
      </c>
      <c r="E23">
        <v>6</v>
      </c>
      <c r="F23" s="41" t="s">
        <v>60</v>
      </c>
      <c r="G23" s="9">
        <v>400</v>
      </c>
      <c r="H23" s="10">
        <f t="shared" si="0"/>
        <v>2400</v>
      </c>
    </row>
    <row r="24" spans="3:8" x14ac:dyDescent="0.3">
      <c r="D24" t="s">
        <v>54</v>
      </c>
      <c r="E24">
        <v>64</v>
      </c>
      <c r="F24" s="41" t="s">
        <v>58</v>
      </c>
      <c r="G24" s="9">
        <f>VLOOKUP($A$4,zone_lu,4)</f>
        <v>58.866228829999997</v>
      </c>
      <c r="H24" s="10">
        <f t="shared" si="0"/>
        <v>3767.4386451199998</v>
      </c>
    </row>
    <row r="25" spans="3:8" x14ac:dyDescent="0.3">
      <c r="C25" t="s">
        <v>106</v>
      </c>
      <c r="F25" s="41"/>
      <c r="G25" s="9"/>
      <c r="H25" s="10"/>
    </row>
    <row r="26" spans="3:8" x14ac:dyDescent="0.3">
      <c r="D26" t="s">
        <v>111</v>
      </c>
      <c r="E26">
        <v>6</v>
      </c>
      <c r="F26" s="41" t="s">
        <v>62</v>
      </c>
      <c r="G26" s="9">
        <v>400</v>
      </c>
      <c r="H26" s="10">
        <f t="shared" si="0"/>
        <v>2400</v>
      </c>
    </row>
    <row r="27" spans="3:8" x14ac:dyDescent="0.3">
      <c r="C27" t="s">
        <v>128</v>
      </c>
      <c r="F27" s="41"/>
      <c r="G27" s="9"/>
      <c r="H27" s="10"/>
    </row>
    <row r="28" spans="3:8" x14ac:dyDescent="0.3">
      <c r="D28" t="s">
        <v>129</v>
      </c>
      <c r="E28">
        <v>12</v>
      </c>
      <c r="F28" s="41" t="s">
        <v>62</v>
      </c>
      <c r="G28" s="9">
        <v>95</v>
      </c>
      <c r="H28" s="10">
        <f t="shared" si="0"/>
        <v>1140</v>
      </c>
    </row>
    <row r="29" spans="3:8" x14ac:dyDescent="0.3">
      <c r="D29" t="s">
        <v>130</v>
      </c>
      <c r="F29" s="41"/>
      <c r="G29" s="9"/>
      <c r="H29" s="39" t="s">
        <v>112</v>
      </c>
    </row>
    <row r="30" spans="3:8" x14ac:dyDescent="0.3">
      <c r="D30" t="s">
        <v>131</v>
      </c>
      <c r="F30" s="41" t="s">
        <v>67</v>
      </c>
      <c r="G30" s="9"/>
      <c r="H30" s="39" t="s">
        <v>112</v>
      </c>
    </row>
    <row r="31" spans="3:8" x14ac:dyDescent="0.3">
      <c r="D31" t="s">
        <v>54</v>
      </c>
      <c r="E31">
        <v>24</v>
      </c>
      <c r="F31" s="41" t="s">
        <v>58</v>
      </c>
      <c r="G31" s="9">
        <f>VLOOKUP($A$4,zone_lu,4)</f>
        <v>58.866228829999997</v>
      </c>
      <c r="H31" s="10">
        <f t="shared" si="0"/>
        <v>1412.7894919199998</v>
      </c>
    </row>
    <row r="32" spans="3:8" x14ac:dyDescent="0.3">
      <c r="C32" t="s">
        <v>107</v>
      </c>
      <c r="F32" s="41"/>
      <c r="G32" s="9"/>
      <c r="H32" s="10">
        <f t="shared" si="0"/>
        <v>0</v>
      </c>
    </row>
    <row r="33" spans="2:9" x14ac:dyDescent="0.3">
      <c r="D33" t="s">
        <v>64</v>
      </c>
      <c r="E33">
        <v>6</v>
      </c>
      <c r="F33" s="41" t="s">
        <v>60</v>
      </c>
      <c r="G33" s="9">
        <v>250</v>
      </c>
      <c r="H33" s="10">
        <f t="shared" si="0"/>
        <v>1500</v>
      </c>
    </row>
    <row r="34" spans="2:9" x14ac:dyDescent="0.3">
      <c r="D34" t="s">
        <v>54</v>
      </c>
      <c r="E34">
        <v>32</v>
      </c>
      <c r="F34" s="41" t="s">
        <v>58</v>
      </c>
      <c r="G34" s="9">
        <f>VLOOKUP($A$4,zone_lu,4)</f>
        <v>58.866228829999997</v>
      </c>
      <c r="H34" s="10">
        <f t="shared" si="0"/>
        <v>1883.7193225599999</v>
      </c>
    </row>
    <row r="35" spans="2:9" x14ac:dyDescent="0.3">
      <c r="E35" s="11"/>
      <c r="F35" s="42"/>
      <c r="G35" s="12"/>
      <c r="H35" s="13">
        <f>SUBTOTAL(9,H12:H34)</f>
        <v>52903.947459599993</v>
      </c>
    </row>
    <row r="36" spans="2:9" x14ac:dyDescent="0.3">
      <c r="E36" s="16"/>
      <c r="F36" s="43"/>
      <c r="G36" s="17"/>
      <c r="H36" s="18"/>
    </row>
    <row r="37" spans="2:9" x14ac:dyDescent="0.3">
      <c r="B37" s="11"/>
      <c r="C37" s="11" t="s">
        <v>71</v>
      </c>
      <c r="D37" s="11"/>
      <c r="E37" s="11"/>
      <c r="F37" s="42"/>
      <c r="G37" s="12"/>
      <c r="H37" s="13">
        <f>SUBTOTAL(9,H6:H36)</f>
        <v>54816.73695151999</v>
      </c>
    </row>
    <row r="38" spans="2:9" x14ac:dyDescent="0.3">
      <c r="F38" s="41"/>
      <c r="G38" s="9"/>
      <c r="H38" s="10">
        <f t="shared" si="0"/>
        <v>0</v>
      </c>
    </row>
    <row r="39" spans="2:9" x14ac:dyDescent="0.3">
      <c r="B39" t="s">
        <v>104</v>
      </c>
      <c r="E39" s="47">
        <f>VLOOKUP($A$4,zone_lu,5)</f>
        <v>0.15</v>
      </c>
      <c r="F39" s="41"/>
      <c r="G39" s="9"/>
      <c r="H39" s="10">
        <f>ROUND(H37*E39,0)</f>
        <v>8223</v>
      </c>
      <c r="I39" s="10">
        <f>ROUND(I37*F39,0)</f>
        <v>0</v>
      </c>
    </row>
    <row r="40" spans="2:9" x14ac:dyDescent="0.3">
      <c r="E40" s="47"/>
      <c r="F40" s="41"/>
      <c r="G40" s="9"/>
      <c r="H40" s="10"/>
      <c r="I40" s="10"/>
    </row>
    <row r="41" spans="2:9" x14ac:dyDescent="0.3">
      <c r="B41" t="s">
        <v>103</v>
      </c>
      <c r="E41" s="47">
        <f>VLOOKUP($A$4,zone_lu,6)</f>
        <v>0.1</v>
      </c>
      <c r="F41" s="41"/>
      <c r="G41" s="9"/>
      <c r="H41" s="10">
        <f>ROUND(SUM(H37:H40)*E41,0)</f>
        <v>6304</v>
      </c>
      <c r="I41" s="10"/>
    </row>
    <row r="42" spans="2:9" x14ac:dyDescent="0.3">
      <c r="E42" s="47"/>
      <c r="F42" s="41"/>
      <c r="G42" s="9"/>
      <c r="H42" s="10"/>
      <c r="I42" s="10"/>
    </row>
    <row r="43" spans="2:9" x14ac:dyDescent="0.3">
      <c r="B43" t="s">
        <v>127</v>
      </c>
      <c r="E43" s="47">
        <f>VLOOKUP($A$4,zone_lu,7)</f>
        <v>1.2500000000000001E-2</v>
      </c>
      <c r="F43" s="41"/>
      <c r="G43" s="9"/>
      <c r="H43" s="10">
        <f>ROUND(SUM(H37:H42)*E43,0)</f>
        <v>867</v>
      </c>
      <c r="I43" s="10"/>
    </row>
    <row r="44" spans="2:9" x14ac:dyDescent="0.3">
      <c r="E44" s="47"/>
      <c r="F44" s="41"/>
      <c r="G44" s="9"/>
      <c r="H44" s="10"/>
      <c r="I44" s="10"/>
    </row>
    <row r="45" spans="2:9" x14ac:dyDescent="0.3">
      <c r="B45" t="s">
        <v>105</v>
      </c>
      <c r="E45" s="47">
        <f>VLOOKUP($A$4,zone_lu,8)</f>
        <v>0</v>
      </c>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70210.736951519997</v>
      </c>
    </row>
    <row r="49" ht="15" thickTop="1" x14ac:dyDescent="0.3"/>
  </sheetData>
  <mergeCells count="1">
    <mergeCell ref="A4:C4"/>
  </mergeCell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20"/>
  <dimension ref="A1:O49"/>
  <sheetViews>
    <sheetView showGridLines="0" topLeftCell="A7"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1990's</v>
      </c>
    </row>
    <row r="2" spans="1:15" x14ac:dyDescent="0.3">
      <c r="A2" t="s">
        <v>10</v>
      </c>
    </row>
    <row r="3" spans="1:15" x14ac:dyDescent="0.3">
      <c r="A3" t="s">
        <v>70</v>
      </c>
    </row>
    <row r="4" spans="1:15" ht="14.4" customHeight="1" x14ac:dyDescent="0.3">
      <c r="A4" s="88">
        <v>6</v>
      </c>
      <c r="B4" s="88"/>
      <c r="C4" s="88"/>
    </row>
    <row r="6" spans="1:15" x14ac:dyDescent="0.3">
      <c r="B6" t="s">
        <v>50</v>
      </c>
      <c r="F6" s="41"/>
      <c r="G6" s="9"/>
      <c r="H6" s="8"/>
    </row>
    <row r="7" spans="1:15" x14ac:dyDescent="0.3">
      <c r="C7" t="s">
        <v>55</v>
      </c>
      <c r="F7" s="41"/>
      <c r="G7" s="9"/>
      <c r="H7" s="8"/>
    </row>
    <row r="8" spans="1:15" x14ac:dyDescent="0.3">
      <c r="D8" t="s">
        <v>54</v>
      </c>
      <c r="E8">
        <v>24</v>
      </c>
      <c r="F8" s="41" t="s">
        <v>58</v>
      </c>
      <c r="G8" s="9">
        <f>VLOOKUP($A$4,zone_lu,4)</f>
        <v>58.866228829999997</v>
      </c>
      <c r="H8" s="10">
        <f>E8*G8</f>
        <v>1412.7894919199998</v>
      </c>
    </row>
    <row r="9" spans="1:15" x14ac:dyDescent="0.3">
      <c r="D9" t="s">
        <v>59</v>
      </c>
      <c r="E9">
        <v>1</v>
      </c>
      <c r="F9" s="41" t="s">
        <v>60</v>
      </c>
      <c r="G9" s="9">
        <v>500</v>
      </c>
      <c r="H9" s="10">
        <f t="shared" ref="H9:H38" si="0">E9*G9</f>
        <v>500</v>
      </c>
    </row>
    <row r="10" spans="1:15" x14ac:dyDescent="0.3">
      <c r="E10" s="11"/>
      <c r="F10" s="42"/>
      <c r="G10" s="12"/>
      <c r="H10" s="13">
        <f>SUBTOTAL(9,H6:H9)</f>
        <v>1912.7894919199998</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39" t="s">
        <v>117</v>
      </c>
    </row>
    <row r="14" spans="1:15" x14ac:dyDescent="0.3">
      <c r="D14" t="s">
        <v>61</v>
      </c>
      <c r="F14" s="41"/>
      <c r="G14" s="28"/>
      <c r="H14" s="10"/>
    </row>
    <row r="15" spans="1:15" x14ac:dyDescent="0.3">
      <c r="D15" s="22" t="s">
        <v>73</v>
      </c>
      <c r="F15" s="41"/>
      <c r="G15" s="10"/>
      <c r="H15" s="10"/>
    </row>
    <row r="16" spans="1:15" x14ac:dyDescent="0.3">
      <c r="D16" t="s">
        <v>64</v>
      </c>
      <c r="F16" s="41"/>
      <c r="G16" s="10"/>
      <c r="H16" s="10"/>
    </row>
    <row r="17" spans="3:8" x14ac:dyDescent="0.3">
      <c r="D17" t="s">
        <v>54</v>
      </c>
      <c r="F17" s="41"/>
      <c r="G17" s="10"/>
      <c r="H17" s="10"/>
    </row>
    <row r="18" spans="3:8" x14ac:dyDescent="0.3">
      <c r="C18" t="s">
        <v>52</v>
      </c>
      <c r="F18" s="41"/>
      <c r="G18" s="9"/>
      <c r="H18" s="10">
        <f t="shared" ref="H18" si="1">E18*G18</f>
        <v>0</v>
      </c>
    </row>
    <row r="19" spans="3:8" x14ac:dyDescent="0.3">
      <c r="D19" t="s">
        <v>66</v>
      </c>
      <c r="E19">
        <v>6</v>
      </c>
      <c r="F19" s="41" t="s">
        <v>62</v>
      </c>
      <c r="G19" s="29">
        <v>5400</v>
      </c>
      <c r="H19" s="10">
        <f t="shared" si="0"/>
        <v>32400</v>
      </c>
    </row>
    <row r="20" spans="3:8" ht="30" customHeight="1" x14ac:dyDescent="0.3">
      <c r="D20" s="24" t="s">
        <v>84</v>
      </c>
      <c r="F20" s="41"/>
      <c r="G20" s="9"/>
      <c r="H20" s="10">
        <f t="shared" si="0"/>
        <v>0</v>
      </c>
    </row>
    <row r="21" spans="3:8" x14ac:dyDescent="0.3">
      <c r="D21" s="15" t="s">
        <v>68</v>
      </c>
      <c r="E21">
        <v>6</v>
      </c>
      <c r="F21" s="41" t="s">
        <v>62</v>
      </c>
      <c r="G21" s="9">
        <v>100</v>
      </c>
      <c r="H21" s="10">
        <f t="shared" si="0"/>
        <v>600</v>
      </c>
    </row>
    <row r="22" spans="3:8" x14ac:dyDescent="0.3">
      <c r="D22" s="15" t="s">
        <v>114</v>
      </c>
      <c r="E22">
        <v>600</v>
      </c>
      <c r="F22" s="41" t="s">
        <v>67</v>
      </c>
      <c r="G22" s="9">
        <v>4</v>
      </c>
      <c r="H22" s="10">
        <f t="shared" si="0"/>
        <v>2400</v>
      </c>
    </row>
    <row r="23" spans="3:8" x14ac:dyDescent="0.3">
      <c r="D23" t="s">
        <v>64</v>
      </c>
      <c r="E23">
        <v>6</v>
      </c>
      <c r="F23" s="41" t="s">
        <v>60</v>
      </c>
      <c r="G23" s="9">
        <v>400</v>
      </c>
      <c r="H23" s="10">
        <f t="shared" si="0"/>
        <v>2400</v>
      </c>
    </row>
    <row r="24" spans="3:8" x14ac:dyDescent="0.3">
      <c r="D24" t="s">
        <v>54</v>
      </c>
      <c r="E24">
        <v>64</v>
      </c>
      <c r="F24" s="41" t="s">
        <v>58</v>
      </c>
      <c r="G24" s="9">
        <f>VLOOKUP($A$4,zone_lu,4)</f>
        <v>58.866228829999997</v>
      </c>
      <c r="H24" s="10">
        <f t="shared" si="0"/>
        <v>3767.4386451199998</v>
      </c>
    </row>
    <row r="25" spans="3:8" x14ac:dyDescent="0.3">
      <c r="C25" t="s">
        <v>106</v>
      </c>
      <c r="F25" s="41"/>
      <c r="G25" s="9"/>
      <c r="H25" s="10"/>
    </row>
    <row r="26" spans="3:8" x14ac:dyDescent="0.3">
      <c r="D26" t="s">
        <v>111</v>
      </c>
      <c r="E26">
        <v>6</v>
      </c>
      <c r="F26" s="41" t="s">
        <v>62</v>
      </c>
      <c r="G26" s="9">
        <v>400</v>
      </c>
      <c r="H26" s="10">
        <f t="shared" si="0"/>
        <v>2400</v>
      </c>
    </row>
    <row r="27" spans="3:8" x14ac:dyDescent="0.3">
      <c r="C27" t="s">
        <v>128</v>
      </c>
      <c r="F27" s="41"/>
      <c r="G27" s="9"/>
      <c r="H27" s="10"/>
    </row>
    <row r="28" spans="3:8" x14ac:dyDescent="0.3">
      <c r="D28" t="s">
        <v>129</v>
      </c>
      <c r="E28">
        <v>12</v>
      </c>
      <c r="F28" s="41" t="s">
        <v>62</v>
      </c>
      <c r="G28" s="9">
        <v>95</v>
      </c>
      <c r="H28" s="10">
        <f t="shared" si="0"/>
        <v>1140</v>
      </c>
    </row>
    <row r="29" spans="3:8" x14ac:dyDescent="0.3">
      <c r="D29" t="s">
        <v>130</v>
      </c>
      <c r="F29" s="41"/>
      <c r="G29" s="9"/>
      <c r="H29" s="39" t="s">
        <v>112</v>
      </c>
    </row>
    <row r="30" spans="3:8" x14ac:dyDescent="0.3">
      <c r="D30" t="s">
        <v>131</v>
      </c>
      <c r="F30" s="41" t="s">
        <v>67</v>
      </c>
      <c r="G30" s="9"/>
      <c r="H30" s="39" t="s">
        <v>112</v>
      </c>
    </row>
    <row r="31" spans="3:8" x14ac:dyDescent="0.3">
      <c r="D31" t="s">
        <v>54</v>
      </c>
      <c r="E31">
        <v>24</v>
      </c>
      <c r="F31" s="41" t="s">
        <v>58</v>
      </c>
      <c r="G31" s="9">
        <f>VLOOKUP($A$4,zone_lu,4)</f>
        <v>58.866228829999997</v>
      </c>
      <c r="H31" s="10">
        <f t="shared" si="0"/>
        <v>1412.7894919199998</v>
      </c>
    </row>
    <row r="32" spans="3:8" x14ac:dyDescent="0.3">
      <c r="C32" t="s">
        <v>107</v>
      </c>
      <c r="F32" s="41"/>
      <c r="G32" s="9"/>
      <c r="H32" s="10">
        <f t="shared" si="0"/>
        <v>0</v>
      </c>
    </row>
    <row r="33" spans="2:9" x14ac:dyDescent="0.3">
      <c r="D33" t="s">
        <v>64</v>
      </c>
      <c r="E33">
        <v>6</v>
      </c>
      <c r="F33" s="41" t="s">
        <v>60</v>
      </c>
      <c r="G33" s="9">
        <v>250</v>
      </c>
      <c r="H33" s="10">
        <f t="shared" si="0"/>
        <v>1500</v>
      </c>
    </row>
    <row r="34" spans="2:9" x14ac:dyDescent="0.3">
      <c r="D34" t="s">
        <v>54</v>
      </c>
      <c r="E34">
        <v>32</v>
      </c>
      <c r="F34" s="41" t="s">
        <v>58</v>
      </c>
      <c r="G34" s="9">
        <f>VLOOKUP($A$4,zone_lu,4)</f>
        <v>58.866228829999997</v>
      </c>
      <c r="H34" s="10">
        <f t="shared" si="0"/>
        <v>1883.7193225599999</v>
      </c>
    </row>
    <row r="35" spans="2:9" x14ac:dyDescent="0.3">
      <c r="E35" s="11"/>
      <c r="F35" s="42"/>
      <c r="G35" s="12"/>
      <c r="H35" s="13">
        <f>SUBTOTAL(9,H12:H34)</f>
        <v>49903.947459599993</v>
      </c>
    </row>
    <row r="36" spans="2:9" x14ac:dyDescent="0.3">
      <c r="E36" s="16"/>
      <c r="F36" s="43"/>
      <c r="G36" s="17"/>
      <c r="H36" s="18"/>
    </row>
    <row r="37" spans="2:9" x14ac:dyDescent="0.3">
      <c r="B37" s="11"/>
      <c r="C37" s="11" t="s">
        <v>71</v>
      </c>
      <c r="D37" s="11"/>
      <c r="E37" s="11"/>
      <c r="F37" s="42"/>
      <c r="G37" s="12"/>
      <c r="H37" s="13">
        <f>SUBTOTAL(9,H6:H36)</f>
        <v>51816.73695151999</v>
      </c>
    </row>
    <row r="38" spans="2:9" x14ac:dyDescent="0.3">
      <c r="F38" s="41"/>
      <c r="G38" s="9"/>
      <c r="H38" s="10">
        <f t="shared" si="0"/>
        <v>0</v>
      </c>
    </row>
    <row r="39" spans="2:9" x14ac:dyDescent="0.3">
      <c r="B39" t="s">
        <v>104</v>
      </c>
      <c r="E39" s="47">
        <f>VLOOKUP($A$4,zone_lu,5)</f>
        <v>0.15</v>
      </c>
      <c r="F39" s="41"/>
      <c r="G39" s="9"/>
      <c r="H39" s="10">
        <f>ROUND(H37*E39,0)</f>
        <v>7773</v>
      </c>
      <c r="I39" s="10">
        <f>ROUND(I37*F39,0)</f>
        <v>0</v>
      </c>
    </row>
    <row r="40" spans="2:9" x14ac:dyDescent="0.3">
      <c r="E40" s="47"/>
      <c r="F40" s="41"/>
      <c r="G40" s="9"/>
      <c r="H40" s="10"/>
      <c r="I40" s="10"/>
    </row>
    <row r="41" spans="2:9" x14ac:dyDescent="0.3">
      <c r="B41" t="s">
        <v>103</v>
      </c>
      <c r="E41" s="47">
        <f>VLOOKUP($A$4,zone_lu,6)</f>
        <v>0.1</v>
      </c>
      <c r="F41" s="41"/>
      <c r="G41" s="9"/>
      <c r="H41" s="10">
        <f>ROUND(SUM(H37:H40)*E41,0)</f>
        <v>5959</v>
      </c>
      <c r="I41" s="10"/>
    </row>
    <row r="42" spans="2:9" x14ac:dyDescent="0.3">
      <c r="E42" s="47"/>
      <c r="F42" s="41"/>
      <c r="G42" s="9"/>
      <c r="H42" s="10"/>
      <c r="I42" s="10"/>
    </row>
    <row r="43" spans="2:9" x14ac:dyDescent="0.3">
      <c r="B43" t="s">
        <v>127</v>
      </c>
      <c r="E43" s="47">
        <f>VLOOKUP($A$4,zone_lu,7)</f>
        <v>1.2500000000000001E-2</v>
      </c>
      <c r="F43" s="41"/>
      <c r="G43" s="9"/>
      <c r="H43" s="10">
        <f>ROUND(SUM(H37:H42)*E43,0)</f>
        <v>819</v>
      </c>
      <c r="I43" s="10"/>
    </row>
    <row r="44" spans="2:9" x14ac:dyDescent="0.3">
      <c r="E44" s="47"/>
      <c r="F44" s="41"/>
      <c r="G44" s="9"/>
      <c r="H44" s="10"/>
      <c r="I44" s="10"/>
    </row>
    <row r="45" spans="2:9" x14ac:dyDescent="0.3">
      <c r="B45" t="s">
        <v>105</v>
      </c>
      <c r="E45" s="47">
        <f>VLOOKUP($A$4,zone_lu,8)</f>
        <v>0</v>
      </c>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66367.736951519997</v>
      </c>
    </row>
    <row r="49" ht="15" thickTop="1" x14ac:dyDescent="0.3"/>
  </sheetData>
  <mergeCells count="1">
    <mergeCell ref="A4:C4"/>
  </mergeCell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22"/>
  <dimension ref="A1:O49"/>
  <sheetViews>
    <sheetView showGridLines="0" topLeftCell="A7"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1990's</v>
      </c>
    </row>
    <row r="2" spans="1:15" x14ac:dyDescent="0.3">
      <c r="A2" t="s">
        <v>10</v>
      </c>
    </row>
    <row r="3" spans="1:15" x14ac:dyDescent="0.3">
      <c r="A3" t="s">
        <v>70</v>
      </c>
    </row>
    <row r="4" spans="1:15" ht="14.4" customHeight="1" x14ac:dyDescent="0.3">
      <c r="A4" s="88">
        <v>9</v>
      </c>
      <c r="B4" s="88"/>
      <c r="C4" s="88"/>
    </row>
    <row r="6" spans="1:15" x14ac:dyDescent="0.3">
      <c r="B6" t="s">
        <v>50</v>
      </c>
      <c r="F6" s="41"/>
      <c r="G6" s="9"/>
      <c r="H6" s="8"/>
    </row>
    <row r="7" spans="1:15" x14ac:dyDescent="0.3">
      <c r="C7" t="s">
        <v>55</v>
      </c>
      <c r="F7" s="41"/>
      <c r="G7" s="9"/>
      <c r="H7" s="8"/>
    </row>
    <row r="8" spans="1:15" x14ac:dyDescent="0.3">
      <c r="D8" t="s">
        <v>54</v>
      </c>
      <c r="E8">
        <v>24</v>
      </c>
      <c r="F8" s="41" t="s">
        <v>58</v>
      </c>
      <c r="G8" s="9">
        <f>VLOOKUP($A$4,zone_lu,4)</f>
        <v>58.866228829999997</v>
      </c>
      <c r="H8" s="10">
        <f>E8*G8</f>
        <v>1412.7894919199998</v>
      </c>
    </row>
    <row r="9" spans="1:15" x14ac:dyDescent="0.3">
      <c r="D9" t="s">
        <v>59</v>
      </c>
      <c r="E9">
        <v>1</v>
      </c>
      <c r="F9" s="41" t="s">
        <v>60</v>
      </c>
      <c r="G9" s="9">
        <v>500</v>
      </c>
      <c r="H9" s="10">
        <f t="shared" ref="H9:H38" si="0">E9*G9</f>
        <v>500</v>
      </c>
    </row>
    <row r="10" spans="1:15" x14ac:dyDescent="0.3">
      <c r="E10" s="11"/>
      <c r="F10" s="42"/>
      <c r="G10" s="12"/>
      <c r="H10" s="13">
        <f>SUBTOTAL(9,H6:H9)</f>
        <v>1912.7894919199998</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39" t="s">
        <v>117</v>
      </c>
    </row>
    <row r="14" spans="1:15" x14ac:dyDescent="0.3">
      <c r="D14" t="s">
        <v>61</v>
      </c>
      <c r="F14" s="41"/>
      <c r="G14" s="28"/>
      <c r="H14" s="10"/>
    </row>
    <row r="15" spans="1:15" x14ac:dyDescent="0.3">
      <c r="D15" s="22" t="s">
        <v>73</v>
      </c>
      <c r="F15" s="41"/>
      <c r="G15" s="10"/>
      <c r="H15" s="10"/>
    </row>
    <row r="16" spans="1:15" x14ac:dyDescent="0.3">
      <c r="D16" t="s">
        <v>64</v>
      </c>
      <c r="F16" s="41"/>
      <c r="G16" s="10"/>
      <c r="H16" s="10"/>
    </row>
    <row r="17" spans="3:8" x14ac:dyDescent="0.3">
      <c r="D17" t="s">
        <v>54</v>
      </c>
      <c r="F17" s="41"/>
      <c r="G17" s="10"/>
      <c r="H17" s="10"/>
    </row>
    <row r="18" spans="3:8" x14ac:dyDescent="0.3">
      <c r="C18" t="s">
        <v>52</v>
      </c>
      <c r="F18" s="41"/>
      <c r="G18" s="9"/>
      <c r="H18" s="10">
        <f t="shared" ref="H18" si="1">E18*G18</f>
        <v>0</v>
      </c>
    </row>
    <row r="19" spans="3:8" x14ac:dyDescent="0.3">
      <c r="D19" t="s">
        <v>66</v>
      </c>
      <c r="E19">
        <v>6</v>
      </c>
      <c r="F19" s="41" t="s">
        <v>62</v>
      </c>
      <c r="G19" s="29">
        <v>5900</v>
      </c>
      <c r="H19" s="10">
        <f t="shared" si="0"/>
        <v>35400</v>
      </c>
    </row>
    <row r="20" spans="3:8" ht="30.6" customHeight="1" x14ac:dyDescent="0.3">
      <c r="D20" s="24" t="s">
        <v>85</v>
      </c>
      <c r="E20" s="1"/>
      <c r="F20" s="41"/>
      <c r="G20" s="9"/>
      <c r="H20" s="10">
        <f t="shared" si="0"/>
        <v>0</v>
      </c>
    </row>
    <row r="21" spans="3:8" x14ac:dyDescent="0.3">
      <c r="D21" s="15" t="s">
        <v>68</v>
      </c>
      <c r="E21">
        <v>6</v>
      </c>
      <c r="F21" s="41" t="s">
        <v>62</v>
      </c>
      <c r="G21" s="9">
        <v>100</v>
      </c>
      <c r="H21" s="10">
        <f t="shared" si="0"/>
        <v>600</v>
      </c>
    </row>
    <row r="22" spans="3:8" x14ac:dyDescent="0.3">
      <c r="D22" s="15" t="s">
        <v>114</v>
      </c>
      <c r="E22">
        <v>600</v>
      </c>
      <c r="F22" s="41" t="s">
        <v>67</v>
      </c>
      <c r="G22" s="9">
        <v>4</v>
      </c>
      <c r="H22" s="10">
        <f t="shared" si="0"/>
        <v>2400</v>
      </c>
    </row>
    <row r="23" spans="3:8" x14ac:dyDescent="0.3">
      <c r="D23" t="s">
        <v>64</v>
      </c>
      <c r="E23">
        <v>6</v>
      </c>
      <c r="F23" s="41" t="s">
        <v>60</v>
      </c>
      <c r="G23" s="9">
        <v>400</v>
      </c>
      <c r="H23" s="10">
        <f t="shared" si="0"/>
        <v>2400</v>
      </c>
    </row>
    <row r="24" spans="3:8" x14ac:dyDescent="0.3">
      <c r="D24" t="s">
        <v>54</v>
      </c>
      <c r="E24">
        <v>64</v>
      </c>
      <c r="F24" s="41" t="s">
        <v>58</v>
      </c>
      <c r="G24" s="9">
        <f>VLOOKUP($A$4,zone_lu,4)</f>
        <v>58.866228829999997</v>
      </c>
      <c r="H24" s="10">
        <f t="shared" si="0"/>
        <v>3767.4386451199998</v>
      </c>
    </row>
    <row r="25" spans="3:8" x14ac:dyDescent="0.3">
      <c r="C25" t="s">
        <v>106</v>
      </c>
      <c r="F25" s="41"/>
      <c r="G25" s="9"/>
      <c r="H25" s="10"/>
    </row>
    <row r="26" spans="3:8" x14ac:dyDescent="0.3">
      <c r="D26" t="s">
        <v>111</v>
      </c>
      <c r="E26">
        <v>6</v>
      </c>
      <c r="F26" s="41" t="s">
        <v>62</v>
      </c>
      <c r="G26" s="9">
        <v>400</v>
      </c>
      <c r="H26" s="10">
        <f t="shared" si="0"/>
        <v>2400</v>
      </c>
    </row>
    <row r="27" spans="3:8" x14ac:dyDescent="0.3">
      <c r="C27" t="s">
        <v>128</v>
      </c>
      <c r="F27" s="41"/>
      <c r="G27" s="9"/>
      <c r="H27" s="10"/>
    </row>
    <row r="28" spans="3:8" x14ac:dyDescent="0.3">
      <c r="D28" t="s">
        <v>129</v>
      </c>
      <c r="E28">
        <v>12</v>
      </c>
      <c r="F28" s="41" t="s">
        <v>62</v>
      </c>
      <c r="G28" s="9">
        <v>95</v>
      </c>
      <c r="H28" s="10">
        <f t="shared" si="0"/>
        <v>1140</v>
      </c>
    </row>
    <row r="29" spans="3:8" x14ac:dyDescent="0.3">
      <c r="D29" t="s">
        <v>130</v>
      </c>
      <c r="F29" s="41"/>
      <c r="G29" s="9"/>
      <c r="H29" s="39" t="s">
        <v>112</v>
      </c>
    </row>
    <row r="30" spans="3:8" x14ac:dyDescent="0.3">
      <c r="D30" t="s">
        <v>131</v>
      </c>
      <c r="F30" s="41" t="s">
        <v>67</v>
      </c>
      <c r="G30" s="9"/>
      <c r="H30" s="39" t="s">
        <v>112</v>
      </c>
    </row>
    <row r="31" spans="3:8" x14ac:dyDescent="0.3">
      <c r="D31" t="s">
        <v>54</v>
      </c>
      <c r="E31">
        <v>24</v>
      </c>
      <c r="F31" s="41" t="s">
        <v>58</v>
      </c>
      <c r="G31" s="9">
        <f>VLOOKUP($A$4,zone_lu,4)</f>
        <v>58.866228829999997</v>
      </c>
      <c r="H31" s="10">
        <f t="shared" si="0"/>
        <v>1412.7894919199998</v>
      </c>
    </row>
    <row r="32" spans="3:8" x14ac:dyDescent="0.3">
      <c r="C32" t="s">
        <v>107</v>
      </c>
      <c r="F32" s="41"/>
      <c r="G32" s="9"/>
      <c r="H32" s="10">
        <f t="shared" si="0"/>
        <v>0</v>
      </c>
    </row>
    <row r="33" spans="2:9" x14ac:dyDescent="0.3">
      <c r="D33" t="s">
        <v>64</v>
      </c>
      <c r="E33">
        <v>6</v>
      </c>
      <c r="F33" s="41" t="s">
        <v>60</v>
      </c>
      <c r="G33" s="9">
        <v>250</v>
      </c>
      <c r="H33" s="10">
        <f t="shared" si="0"/>
        <v>1500</v>
      </c>
    </row>
    <row r="34" spans="2:9" x14ac:dyDescent="0.3">
      <c r="D34" t="s">
        <v>54</v>
      </c>
      <c r="E34">
        <v>32</v>
      </c>
      <c r="F34" s="41" t="s">
        <v>58</v>
      </c>
      <c r="G34" s="9">
        <f>VLOOKUP($A$4,zone_lu,4)</f>
        <v>58.866228829999997</v>
      </c>
      <c r="H34" s="10">
        <f t="shared" si="0"/>
        <v>1883.7193225599999</v>
      </c>
    </row>
    <row r="35" spans="2:9" x14ac:dyDescent="0.3">
      <c r="E35" s="11"/>
      <c r="F35" s="42"/>
      <c r="G35" s="12"/>
      <c r="H35" s="13">
        <f>SUBTOTAL(9,H12:H34)</f>
        <v>52903.947459599993</v>
      </c>
    </row>
    <row r="36" spans="2:9" x14ac:dyDescent="0.3">
      <c r="E36" s="16"/>
      <c r="F36" s="43"/>
      <c r="G36" s="17"/>
      <c r="H36" s="18"/>
    </row>
    <row r="37" spans="2:9" x14ac:dyDescent="0.3">
      <c r="B37" s="11"/>
      <c r="C37" s="11" t="s">
        <v>71</v>
      </c>
      <c r="D37" s="11"/>
      <c r="E37" s="11"/>
      <c r="F37" s="42"/>
      <c r="G37" s="12"/>
      <c r="H37" s="13">
        <f>SUBTOTAL(9,H6:H36)</f>
        <v>54816.73695151999</v>
      </c>
    </row>
    <row r="38" spans="2:9" x14ac:dyDescent="0.3">
      <c r="F38" s="41"/>
      <c r="G38" s="9"/>
      <c r="H38" s="10">
        <f t="shared" si="0"/>
        <v>0</v>
      </c>
    </row>
    <row r="39" spans="2:9" x14ac:dyDescent="0.3">
      <c r="B39" t="s">
        <v>104</v>
      </c>
      <c r="E39" s="47">
        <f>VLOOKUP($A$4,zone_lu,5)</f>
        <v>0.15</v>
      </c>
      <c r="F39" s="41"/>
      <c r="G39" s="9"/>
      <c r="H39" s="10">
        <f>ROUND(H37*E39,0)</f>
        <v>8223</v>
      </c>
      <c r="I39" s="10">
        <f>ROUND(I37*F39,0)</f>
        <v>0</v>
      </c>
    </row>
    <row r="40" spans="2:9" x14ac:dyDescent="0.3">
      <c r="E40" s="47"/>
      <c r="F40" s="41"/>
      <c r="G40" s="9"/>
      <c r="H40" s="10"/>
      <c r="I40" s="10"/>
    </row>
    <row r="41" spans="2:9" x14ac:dyDescent="0.3">
      <c r="B41" t="s">
        <v>103</v>
      </c>
      <c r="E41" s="47">
        <f>VLOOKUP($A$4,zone_lu,6)</f>
        <v>0.1</v>
      </c>
      <c r="F41" s="41"/>
      <c r="G41" s="9"/>
      <c r="H41" s="10">
        <f>ROUND(SUM(H37:H40)*E41,0)</f>
        <v>6304</v>
      </c>
      <c r="I41" s="10"/>
    </row>
    <row r="42" spans="2:9" x14ac:dyDescent="0.3">
      <c r="E42" s="47"/>
      <c r="F42" s="41"/>
      <c r="G42" s="9"/>
      <c r="H42" s="10"/>
      <c r="I42" s="10"/>
    </row>
    <row r="43" spans="2:9" x14ac:dyDescent="0.3">
      <c r="B43" t="s">
        <v>127</v>
      </c>
      <c r="E43" s="47">
        <f>VLOOKUP($A$4,zone_lu,7)</f>
        <v>1.2500000000000001E-2</v>
      </c>
      <c r="F43" s="41"/>
      <c r="G43" s="9"/>
      <c r="H43" s="10">
        <f>ROUND(SUM(H37:H42)*E43,0)</f>
        <v>867</v>
      </c>
      <c r="I43" s="10"/>
    </row>
    <row r="44" spans="2:9" x14ac:dyDescent="0.3">
      <c r="E44" s="47"/>
      <c r="F44" s="41"/>
      <c r="G44" s="9"/>
      <c r="H44" s="10"/>
      <c r="I44" s="10"/>
    </row>
    <row r="45" spans="2:9" x14ac:dyDescent="0.3">
      <c r="B45" t="s">
        <v>105</v>
      </c>
      <c r="E45" s="47">
        <f>VLOOKUP($A$4,zone_lu,8)</f>
        <v>0</v>
      </c>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70210.736951519997</v>
      </c>
    </row>
    <row r="49" ht="15" thickTop="1" x14ac:dyDescent="0.3"/>
  </sheetData>
  <mergeCells count="1">
    <mergeCell ref="A4:C4"/>
  </mergeCell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24"/>
  <dimension ref="A1:O49"/>
  <sheetViews>
    <sheetView showGridLines="0" topLeftCell="A7"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1990's</v>
      </c>
    </row>
    <row r="2" spans="1:15" x14ac:dyDescent="0.3">
      <c r="A2" t="s">
        <v>10</v>
      </c>
    </row>
    <row r="3" spans="1:15" x14ac:dyDescent="0.3">
      <c r="A3" t="s">
        <v>70</v>
      </c>
    </row>
    <row r="4" spans="1:15" ht="14.4" customHeight="1" x14ac:dyDescent="0.3">
      <c r="A4" s="88">
        <v>10</v>
      </c>
      <c r="B4" s="88"/>
      <c r="C4" s="88"/>
    </row>
    <row r="6" spans="1:15" x14ac:dyDescent="0.3">
      <c r="B6" t="s">
        <v>50</v>
      </c>
      <c r="F6" s="41"/>
      <c r="G6" s="9"/>
      <c r="H6" s="8"/>
    </row>
    <row r="7" spans="1:15" x14ac:dyDescent="0.3">
      <c r="C7" t="s">
        <v>55</v>
      </c>
      <c r="F7" s="41"/>
      <c r="G7" s="9"/>
      <c r="H7" s="8"/>
    </row>
    <row r="8" spans="1:15" x14ac:dyDescent="0.3">
      <c r="D8" t="s">
        <v>54</v>
      </c>
      <c r="E8">
        <v>24</v>
      </c>
      <c r="F8" s="41" t="s">
        <v>58</v>
      </c>
      <c r="G8" s="9">
        <f>VLOOKUP($A$4,zone_lu,4)</f>
        <v>58.866228829999997</v>
      </c>
      <c r="H8" s="10">
        <f>E8*G8</f>
        <v>1412.7894919199998</v>
      </c>
    </row>
    <row r="9" spans="1:15" x14ac:dyDescent="0.3">
      <c r="D9" t="s">
        <v>59</v>
      </c>
      <c r="E9">
        <v>1</v>
      </c>
      <c r="F9" s="41" t="s">
        <v>60</v>
      </c>
      <c r="G9" s="9">
        <v>500</v>
      </c>
      <c r="H9" s="10">
        <f t="shared" ref="H9:H38" si="0">E9*G9</f>
        <v>500</v>
      </c>
    </row>
    <row r="10" spans="1:15" x14ac:dyDescent="0.3">
      <c r="E10" s="11"/>
      <c r="F10" s="42"/>
      <c r="G10" s="12"/>
      <c r="H10" s="13">
        <f>SUBTOTAL(9,H6:H9)</f>
        <v>1912.7894919199998</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39" t="s">
        <v>117</v>
      </c>
    </row>
    <row r="14" spans="1:15" x14ac:dyDescent="0.3">
      <c r="D14" t="s">
        <v>61</v>
      </c>
      <c r="F14" s="41"/>
      <c r="G14" s="28"/>
      <c r="H14" s="10"/>
    </row>
    <row r="15" spans="1:15" x14ac:dyDescent="0.3">
      <c r="D15" s="22" t="s">
        <v>73</v>
      </c>
      <c r="F15" s="41"/>
      <c r="G15" s="10"/>
      <c r="H15" s="10"/>
    </row>
    <row r="16" spans="1:15" x14ac:dyDescent="0.3">
      <c r="D16" t="s">
        <v>64</v>
      </c>
      <c r="F16" s="41"/>
      <c r="G16" s="10"/>
      <c r="H16" s="10"/>
    </row>
    <row r="17" spans="3:8" x14ac:dyDescent="0.3">
      <c r="D17" t="s">
        <v>54</v>
      </c>
      <c r="F17" s="41"/>
      <c r="G17" s="10"/>
      <c r="H17" s="10"/>
    </row>
    <row r="18" spans="3:8" x14ac:dyDescent="0.3">
      <c r="C18" t="s">
        <v>52</v>
      </c>
      <c r="F18" s="41"/>
      <c r="G18" s="9"/>
      <c r="H18" s="10">
        <f t="shared" ref="H18" si="1">E18*G18</f>
        <v>0</v>
      </c>
    </row>
    <row r="19" spans="3:8" x14ac:dyDescent="0.3">
      <c r="D19" t="s">
        <v>66</v>
      </c>
      <c r="E19">
        <v>6</v>
      </c>
      <c r="F19" s="41" t="s">
        <v>62</v>
      </c>
      <c r="G19" s="29">
        <v>6100</v>
      </c>
      <c r="H19" s="10">
        <f t="shared" si="0"/>
        <v>36600</v>
      </c>
    </row>
    <row r="20" spans="3:8" ht="30" customHeight="1" x14ac:dyDescent="0.3">
      <c r="D20" s="24" t="s">
        <v>86</v>
      </c>
      <c r="F20" s="41"/>
      <c r="G20" s="9"/>
      <c r="H20" s="10">
        <f t="shared" si="0"/>
        <v>0</v>
      </c>
    </row>
    <row r="21" spans="3:8" x14ac:dyDescent="0.3">
      <c r="D21" s="15" t="s">
        <v>68</v>
      </c>
      <c r="E21">
        <v>6</v>
      </c>
      <c r="F21" s="41" t="s">
        <v>62</v>
      </c>
      <c r="G21" s="9">
        <v>100</v>
      </c>
      <c r="H21" s="10">
        <f t="shared" si="0"/>
        <v>600</v>
      </c>
    </row>
    <row r="22" spans="3:8" x14ac:dyDescent="0.3">
      <c r="D22" s="15" t="s">
        <v>114</v>
      </c>
      <c r="E22">
        <v>600</v>
      </c>
      <c r="F22" s="41" t="s">
        <v>67</v>
      </c>
      <c r="G22" s="9">
        <v>4</v>
      </c>
      <c r="H22" s="10">
        <f t="shared" si="0"/>
        <v>2400</v>
      </c>
    </row>
    <row r="23" spans="3:8" x14ac:dyDescent="0.3">
      <c r="D23" t="s">
        <v>64</v>
      </c>
      <c r="E23">
        <v>6</v>
      </c>
      <c r="F23" s="41" t="s">
        <v>60</v>
      </c>
      <c r="G23" s="9">
        <v>400</v>
      </c>
      <c r="H23" s="10">
        <f t="shared" si="0"/>
        <v>2400</v>
      </c>
    </row>
    <row r="24" spans="3:8" x14ac:dyDescent="0.3">
      <c r="D24" t="s">
        <v>54</v>
      </c>
      <c r="E24">
        <v>64</v>
      </c>
      <c r="F24" s="41" t="s">
        <v>58</v>
      </c>
      <c r="G24" s="9">
        <f>VLOOKUP($A$4,zone_lu,4)</f>
        <v>58.866228829999997</v>
      </c>
      <c r="H24" s="10">
        <f t="shared" si="0"/>
        <v>3767.4386451199998</v>
      </c>
    </row>
    <row r="25" spans="3:8" x14ac:dyDescent="0.3">
      <c r="C25" t="s">
        <v>106</v>
      </c>
      <c r="F25" s="41"/>
      <c r="G25" s="9"/>
      <c r="H25" s="10"/>
    </row>
    <row r="26" spans="3:8" x14ac:dyDescent="0.3">
      <c r="D26" t="s">
        <v>111</v>
      </c>
      <c r="E26">
        <v>6</v>
      </c>
      <c r="F26" s="41" t="s">
        <v>62</v>
      </c>
      <c r="G26" s="9">
        <v>400</v>
      </c>
      <c r="H26" s="10">
        <f t="shared" si="0"/>
        <v>2400</v>
      </c>
    </row>
    <row r="27" spans="3:8" x14ac:dyDescent="0.3">
      <c r="C27" t="s">
        <v>128</v>
      </c>
      <c r="F27" s="41"/>
      <c r="G27" s="9"/>
      <c r="H27" s="10"/>
    </row>
    <row r="28" spans="3:8" x14ac:dyDescent="0.3">
      <c r="D28" t="s">
        <v>129</v>
      </c>
      <c r="E28">
        <v>12</v>
      </c>
      <c r="F28" s="41" t="s">
        <v>62</v>
      </c>
      <c r="G28" s="9">
        <v>95</v>
      </c>
      <c r="H28" s="10">
        <f t="shared" si="0"/>
        <v>1140</v>
      </c>
    </row>
    <row r="29" spans="3:8" x14ac:dyDescent="0.3">
      <c r="D29" t="s">
        <v>130</v>
      </c>
      <c r="F29" s="41"/>
      <c r="G29" s="9"/>
      <c r="H29" s="39" t="s">
        <v>112</v>
      </c>
    </row>
    <row r="30" spans="3:8" x14ac:dyDescent="0.3">
      <c r="D30" t="s">
        <v>131</v>
      </c>
      <c r="F30" s="41" t="s">
        <v>67</v>
      </c>
      <c r="G30" s="9"/>
      <c r="H30" s="39" t="s">
        <v>112</v>
      </c>
    </row>
    <row r="31" spans="3:8" x14ac:dyDescent="0.3">
      <c r="D31" t="s">
        <v>54</v>
      </c>
      <c r="E31">
        <v>48</v>
      </c>
      <c r="F31" s="41" t="s">
        <v>58</v>
      </c>
      <c r="G31" s="9">
        <f>VLOOKUP($A$4,zone_lu,4)</f>
        <v>58.866228829999997</v>
      </c>
      <c r="H31" s="10">
        <f t="shared" si="0"/>
        <v>2825.5789838399996</v>
      </c>
    </row>
    <row r="32" spans="3:8" x14ac:dyDescent="0.3">
      <c r="C32" t="s">
        <v>107</v>
      </c>
      <c r="F32" s="41"/>
      <c r="G32" s="9"/>
      <c r="H32" s="10">
        <f t="shared" si="0"/>
        <v>0</v>
      </c>
    </row>
    <row r="33" spans="2:9" x14ac:dyDescent="0.3">
      <c r="D33" t="s">
        <v>64</v>
      </c>
      <c r="E33">
        <v>6</v>
      </c>
      <c r="F33" s="41" t="s">
        <v>60</v>
      </c>
      <c r="G33" s="9">
        <v>250</v>
      </c>
      <c r="H33" s="10">
        <f t="shared" si="0"/>
        <v>1500</v>
      </c>
    </row>
    <row r="34" spans="2:9" x14ac:dyDescent="0.3">
      <c r="D34" t="s">
        <v>54</v>
      </c>
      <c r="E34">
        <v>32</v>
      </c>
      <c r="F34" s="41" t="s">
        <v>58</v>
      </c>
      <c r="G34" s="9">
        <f>VLOOKUP($A$4,zone_lu,4)</f>
        <v>58.866228829999997</v>
      </c>
      <c r="H34" s="10">
        <f t="shared" si="0"/>
        <v>1883.7193225599999</v>
      </c>
    </row>
    <row r="35" spans="2:9" x14ac:dyDescent="0.3">
      <c r="E35" s="11"/>
      <c r="F35" s="42"/>
      <c r="G35" s="12"/>
      <c r="H35" s="13">
        <f>SUBTOTAL(9,H12:H34)</f>
        <v>55516.736951519997</v>
      </c>
    </row>
    <row r="36" spans="2:9" x14ac:dyDescent="0.3">
      <c r="E36" s="16"/>
      <c r="F36" s="43"/>
      <c r="G36" s="17"/>
      <c r="H36" s="18"/>
    </row>
    <row r="37" spans="2:9" x14ac:dyDescent="0.3">
      <c r="B37" s="11"/>
      <c r="C37" s="11" t="s">
        <v>71</v>
      </c>
      <c r="D37" s="11"/>
      <c r="E37" s="11"/>
      <c r="F37" s="42"/>
      <c r="G37" s="12"/>
      <c r="H37" s="13">
        <f>SUBTOTAL(9,H6:H36)</f>
        <v>57429.526443439994</v>
      </c>
    </row>
    <row r="38" spans="2:9" x14ac:dyDescent="0.3">
      <c r="F38" s="41"/>
      <c r="G38" s="9"/>
      <c r="H38" s="10">
        <f t="shared" si="0"/>
        <v>0</v>
      </c>
    </row>
    <row r="39" spans="2:9" x14ac:dyDescent="0.3">
      <c r="B39" t="s">
        <v>104</v>
      </c>
      <c r="E39" s="47">
        <f>VLOOKUP($A$4,zone_lu,5)</f>
        <v>0.15</v>
      </c>
      <c r="F39" s="41"/>
      <c r="G39" s="9"/>
      <c r="H39" s="10">
        <f>ROUND(H37*E39,0)</f>
        <v>8614</v>
      </c>
      <c r="I39" s="10">
        <f>ROUND(I37*F39,0)</f>
        <v>0</v>
      </c>
    </row>
    <row r="40" spans="2:9" x14ac:dyDescent="0.3">
      <c r="E40" s="47"/>
      <c r="F40" s="41"/>
      <c r="G40" s="9"/>
      <c r="H40" s="10"/>
      <c r="I40" s="10"/>
    </row>
    <row r="41" spans="2:9" x14ac:dyDescent="0.3">
      <c r="B41" t="s">
        <v>103</v>
      </c>
      <c r="E41" s="47">
        <f>VLOOKUP($A$4,zone_lu,6)</f>
        <v>0.1</v>
      </c>
      <c r="F41" s="41"/>
      <c r="G41" s="9"/>
      <c r="H41" s="10">
        <f>ROUND(SUM(H37:H40)*E41,0)</f>
        <v>6604</v>
      </c>
      <c r="I41" s="10"/>
    </row>
    <row r="42" spans="2:9" x14ac:dyDescent="0.3">
      <c r="E42" s="47"/>
      <c r="F42" s="41"/>
      <c r="G42" s="9"/>
      <c r="H42" s="10"/>
      <c r="I42" s="10"/>
    </row>
    <row r="43" spans="2:9" x14ac:dyDescent="0.3">
      <c r="B43" t="s">
        <v>127</v>
      </c>
      <c r="E43" s="47">
        <f>VLOOKUP($A$4,zone_lu,7)</f>
        <v>1.2500000000000001E-2</v>
      </c>
      <c r="F43" s="41"/>
      <c r="G43" s="9"/>
      <c r="H43" s="10">
        <f>ROUND(SUM(H37:H42)*E43,0)</f>
        <v>908</v>
      </c>
      <c r="I43" s="10"/>
    </row>
    <row r="44" spans="2:9" x14ac:dyDescent="0.3">
      <c r="E44" s="47"/>
      <c r="F44" s="41"/>
      <c r="G44" s="9"/>
      <c r="H44" s="10"/>
      <c r="I44" s="10"/>
    </row>
    <row r="45" spans="2:9" x14ac:dyDescent="0.3">
      <c r="B45" t="s">
        <v>105</v>
      </c>
      <c r="E45" s="47">
        <f>VLOOKUP($A$4,zone_lu,8)</f>
        <v>0</v>
      </c>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73555.526443440001</v>
      </c>
    </row>
    <row r="49" ht="15" thickTop="1" x14ac:dyDescent="0.3"/>
  </sheetData>
  <mergeCells count="1">
    <mergeCell ref="A4:C4"/>
  </mergeCell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26"/>
  <dimension ref="A1:O49"/>
  <sheetViews>
    <sheetView showGridLines="0" topLeftCell="A7"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1990's</v>
      </c>
    </row>
    <row r="2" spans="1:15" x14ac:dyDescent="0.3">
      <c r="A2" t="s">
        <v>10</v>
      </c>
    </row>
    <row r="3" spans="1:15" x14ac:dyDescent="0.3">
      <c r="A3" t="s">
        <v>70</v>
      </c>
    </row>
    <row r="4" spans="1:15" ht="14.4" customHeight="1" x14ac:dyDescent="0.3">
      <c r="A4" s="88">
        <v>12</v>
      </c>
      <c r="B4" s="88"/>
      <c r="C4" s="88"/>
    </row>
    <row r="6" spans="1:15" x14ac:dyDescent="0.3">
      <c r="B6" t="s">
        <v>50</v>
      </c>
      <c r="F6" s="41"/>
      <c r="G6" s="9"/>
      <c r="H6" s="8"/>
    </row>
    <row r="7" spans="1:15" x14ac:dyDescent="0.3">
      <c r="C7" t="s">
        <v>55</v>
      </c>
      <c r="F7" s="41"/>
      <c r="G7" s="9"/>
      <c r="H7" s="8"/>
    </row>
    <row r="8" spans="1:15" x14ac:dyDescent="0.3">
      <c r="D8" t="s">
        <v>54</v>
      </c>
      <c r="E8">
        <v>24</v>
      </c>
      <c r="F8" s="41" t="s">
        <v>58</v>
      </c>
      <c r="G8" s="9">
        <f>VLOOKUP($A$4,zone_lu,4)</f>
        <v>58.866228829999997</v>
      </c>
      <c r="H8" s="10">
        <f>E8*G8</f>
        <v>1412.7894919199998</v>
      </c>
    </row>
    <row r="9" spans="1:15" x14ac:dyDescent="0.3">
      <c r="D9" t="s">
        <v>59</v>
      </c>
      <c r="E9">
        <v>1</v>
      </c>
      <c r="F9" s="41" t="s">
        <v>60</v>
      </c>
      <c r="G9" s="9">
        <v>500</v>
      </c>
      <c r="H9" s="10">
        <f t="shared" ref="H9:H38" si="0">E9*G9</f>
        <v>500</v>
      </c>
    </row>
    <row r="10" spans="1:15" x14ac:dyDescent="0.3">
      <c r="E10" s="11"/>
      <c r="F10" s="42"/>
      <c r="G10" s="12"/>
      <c r="H10" s="13">
        <f>SUBTOTAL(9,H6:H9)</f>
        <v>1912.7894919199998</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39" t="s">
        <v>117</v>
      </c>
    </row>
    <row r="14" spans="1:15" x14ac:dyDescent="0.3">
      <c r="D14" t="s">
        <v>61</v>
      </c>
      <c r="F14" s="41"/>
      <c r="G14" s="28"/>
      <c r="H14" s="10"/>
    </row>
    <row r="15" spans="1:15" x14ac:dyDescent="0.3">
      <c r="D15" s="22" t="s">
        <v>73</v>
      </c>
      <c r="F15" s="41"/>
      <c r="G15" s="10"/>
      <c r="H15" s="10"/>
    </row>
    <row r="16" spans="1:15" x14ac:dyDescent="0.3">
      <c r="D16" t="s">
        <v>64</v>
      </c>
      <c r="F16" s="41"/>
      <c r="G16" s="10"/>
      <c r="H16" s="10"/>
    </row>
    <row r="17" spans="3:8" x14ac:dyDescent="0.3">
      <c r="D17" t="s">
        <v>54</v>
      </c>
      <c r="F17" s="41"/>
      <c r="G17" s="10"/>
      <c r="H17" s="10"/>
    </row>
    <row r="18" spans="3:8" x14ac:dyDescent="0.3">
      <c r="C18" t="s">
        <v>52</v>
      </c>
      <c r="F18" s="41"/>
      <c r="G18" s="9"/>
      <c r="H18" s="10">
        <f t="shared" ref="H18" si="1">E18*G18</f>
        <v>0</v>
      </c>
    </row>
    <row r="19" spans="3:8" x14ac:dyDescent="0.3">
      <c r="D19" t="s">
        <v>66</v>
      </c>
      <c r="E19">
        <v>6</v>
      </c>
      <c r="F19" s="41" t="s">
        <v>62</v>
      </c>
      <c r="G19" s="29">
        <v>6100</v>
      </c>
      <c r="H19" s="10">
        <f t="shared" si="0"/>
        <v>36600</v>
      </c>
    </row>
    <row r="20" spans="3:8" ht="30.6" customHeight="1" x14ac:dyDescent="0.3">
      <c r="D20" s="24" t="s">
        <v>86</v>
      </c>
      <c r="F20" s="41"/>
      <c r="G20" s="9"/>
      <c r="H20" s="10">
        <f t="shared" si="0"/>
        <v>0</v>
      </c>
    </row>
    <row r="21" spans="3:8" x14ac:dyDescent="0.3">
      <c r="D21" s="15" t="s">
        <v>68</v>
      </c>
      <c r="E21">
        <v>6</v>
      </c>
      <c r="F21" s="41" t="s">
        <v>62</v>
      </c>
      <c r="G21" s="9">
        <v>100</v>
      </c>
      <c r="H21" s="10">
        <f t="shared" si="0"/>
        <v>600</v>
      </c>
    </row>
    <row r="22" spans="3:8" x14ac:dyDescent="0.3">
      <c r="D22" s="15" t="s">
        <v>114</v>
      </c>
      <c r="E22">
        <v>600</v>
      </c>
      <c r="F22" s="41" t="s">
        <v>67</v>
      </c>
      <c r="G22" s="9">
        <v>4</v>
      </c>
      <c r="H22" s="10">
        <f t="shared" si="0"/>
        <v>2400</v>
      </c>
    </row>
    <row r="23" spans="3:8" x14ac:dyDescent="0.3">
      <c r="D23" t="s">
        <v>64</v>
      </c>
      <c r="E23">
        <v>6</v>
      </c>
      <c r="F23" s="41" t="s">
        <v>60</v>
      </c>
      <c r="G23" s="9">
        <v>400</v>
      </c>
      <c r="H23" s="10">
        <f t="shared" si="0"/>
        <v>2400</v>
      </c>
    </row>
    <row r="24" spans="3:8" x14ac:dyDescent="0.3">
      <c r="D24" t="s">
        <v>54</v>
      </c>
      <c r="E24">
        <v>64</v>
      </c>
      <c r="F24" s="41" t="s">
        <v>58</v>
      </c>
      <c r="G24" s="9">
        <f>VLOOKUP($A$4,zone_lu,4)</f>
        <v>58.866228829999997</v>
      </c>
      <c r="H24" s="10">
        <f t="shared" si="0"/>
        <v>3767.4386451199998</v>
      </c>
    </row>
    <row r="25" spans="3:8" x14ac:dyDescent="0.3">
      <c r="C25" t="s">
        <v>106</v>
      </c>
      <c r="F25" s="41"/>
      <c r="G25" s="9"/>
      <c r="H25" s="10"/>
    </row>
    <row r="26" spans="3:8" x14ac:dyDescent="0.3">
      <c r="D26" t="s">
        <v>111</v>
      </c>
      <c r="E26">
        <v>6</v>
      </c>
      <c r="F26" s="41" t="s">
        <v>62</v>
      </c>
      <c r="G26" s="9">
        <v>400</v>
      </c>
      <c r="H26" s="10">
        <f t="shared" si="0"/>
        <v>2400</v>
      </c>
    </row>
    <row r="27" spans="3:8" x14ac:dyDescent="0.3">
      <c r="C27" t="s">
        <v>128</v>
      </c>
      <c r="F27" s="41"/>
      <c r="G27" s="9"/>
      <c r="H27" s="10"/>
    </row>
    <row r="28" spans="3:8" x14ac:dyDescent="0.3">
      <c r="D28" t="s">
        <v>129</v>
      </c>
      <c r="E28">
        <v>12</v>
      </c>
      <c r="F28" s="41" t="s">
        <v>62</v>
      </c>
      <c r="G28" s="9">
        <v>95</v>
      </c>
      <c r="H28" s="10">
        <f t="shared" si="0"/>
        <v>1140</v>
      </c>
    </row>
    <row r="29" spans="3:8" x14ac:dyDescent="0.3">
      <c r="D29" t="s">
        <v>130</v>
      </c>
      <c r="F29" s="41"/>
      <c r="G29" s="9"/>
      <c r="H29" s="37" t="s">
        <v>112</v>
      </c>
    </row>
    <row r="30" spans="3:8" x14ac:dyDescent="0.3">
      <c r="D30" t="s">
        <v>131</v>
      </c>
      <c r="F30" s="41" t="s">
        <v>67</v>
      </c>
      <c r="G30" s="9"/>
      <c r="H30" s="37" t="s">
        <v>112</v>
      </c>
    </row>
    <row r="31" spans="3:8" x14ac:dyDescent="0.3">
      <c r="D31" t="s">
        <v>54</v>
      </c>
      <c r="E31">
        <v>48</v>
      </c>
      <c r="F31" s="41" t="s">
        <v>58</v>
      </c>
      <c r="G31" s="9">
        <f>VLOOKUP($A$4,zone_lu,4)</f>
        <v>58.866228829999997</v>
      </c>
      <c r="H31" s="10">
        <f t="shared" si="0"/>
        <v>2825.5789838399996</v>
      </c>
    </row>
    <row r="32" spans="3:8" x14ac:dyDescent="0.3">
      <c r="C32" t="s">
        <v>107</v>
      </c>
      <c r="F32" s="41"/>
      <c r="G32" s="9"/>
      <c r="H32" s="10">
        <f t="shared" si="0"/>
        <v>0</v>
      </c>
    </row>
    <row r="33" spans="2:9" x14ac:dyDescent="0.3">
      <c r="D33" t="s">
        <v>64</v>
      </c>
      <c r="E33">
        <v>6</v>
      </c>
      <c r="F33" s="41" t="s">
        <v>60</v>
      </c>
      <c r="G33" s="9">
        <v>250</v>
      </c>
      <c r="H33" s="10">
        <f t="shared" si="0"/>
        <v>1500</v>
      </c>
    </row>
    <row r="34" spans="2:9" x14ac:dyDescent="0.3">
      <c r="D34" t="s">
        <v>54</v>
      </c>
      <c r="E34">
        <v>32</v>
      </c>
      <c r="F34" s="41" t="s">
        <v>58</v>
      </c>
      <c r="G34" s="9">
        <f>VLOOKUP($A$4,zone_lu,4)</f>
        <v>58.866228829999997</v>
      </c>
      <c r="H34" s="10">
        <f t="shared" si="0"/>
        <v>1883.7193225599999</v>
      </c>
    </row>
    <row r="35" spans="2:9" x14ac:dyDescent="0.3">
      <c r="E35" s="11"/>
      <c r="F35" s="42"/>
      <c r="G35" s="12"/>
      <c r="H35" s="13">
        <f>SUBTOTAL(9,H12:H34)</f>
        <v>55516.736951519997</v>
      </c>
    </row>
    <row r="36" spans="2:9" x14ac:dyDescent="0.3">
      <c r="E36" s="16"/>
      <c r="F36" s="43"/>
      <c r="G36" s="17"/>
      <c r="H36" s="18"/>
    </row>
    <row r="37" spans="2:9" x14ac:dyDescent="0.3">
      <c r="B37" s="11"/>
      <c r="C37" s="11" t="s">
        <v>71</v>
      </c>
      <c r="D37" s="11"/>
      <c r="E37" s="11"/>
      <c r="F37" s="42"/>
      <c r="G37" s="12"/>
      <c r="H37" s="13">
        <f>SUBTOTAL(9,H6:H36)</f>
        <v>57429.526443439994</v>
      </c>
    </row>
    <row r="38" spans="2:9" x14ac:dyDescent="0.3">
      <c r="F38" s="41"/>
      <c r="G38" s="9"/>
      <c r="H38" s="10">
        <f t="shared" si="0"/>
        <v>0</v>
      </c>
    </row>
    <row r="39" spans="2:9" x14ac:dyDescent="0.3">
      <c r="B39" t="s">
        <v>104</v>
      </c>
      <c r="E39" s="47">
        <f>VLOOKUP($A$4,zone_lu,5)</f>
        <v>0.15</v>
      </c>
      <c r="F39" s="41"/>
      <c r="G39" s="9"/>
      <c r="H39" s="10">
        <f>ROUND(H37*E39,0)</f>
        <v>8614</v>
      </c>
      <c r="I39" s="10">
        <f>ROUND(I37*F39,0)</f>
        <v>0</v>
      </c>
    </row>
    <row r="40" spans="2:9" x14ac:dyDescent="0.3">
      <c r="E40" s="47"/>
      <c r="F40" s="41"/>
      <c r="G40" s="9"/>
      <c r="H40" s="10"/>
      <c r="I40" s="10"/>
    </row>
    <row r="41" spans="2:9" x14ac:dyDescent="0.3">
      <c r="B41" t="s">
        <v>103</v>
      </c>
      <c r="E41" s="47">
        <f>VLOOKUP($A$4,zone_lu,6)</f>
        <v>0.1</v>
      </c>
      <c r="F41" s="41"/>
      <c r="G41" s="9"/>
      <c r="H41" s="10">
        <f>ROUND(SUM(H37:H40)*E41,0)</f>
        <v>6604</v>
      </c>
      <c r="I41" s="10"/>
    </row>
    <row r="42" spans="2:9" x14ac:dyDescent="0.3">
      <c r="E42" s="47"/>
      <c r="F42" s="41"/>
      <c r="G42" s="9"/>
      <c r="H42" s="10"/>
      <c r="I42" s="10"/>
    </row>
    <row r="43" spans="2:9" x14ac:dyDescent="0.3">
      <c r="B43" t="s">
        <v>127</v>
      </c>
      <c r="E43" s="47">
        <f>VLOOKUP($A$4,zone_lu,7)</f>
        <v>1.2500000000000001E-2</v>
      </c>
      <c r="F43" s="41"/>
      <c r="G43" s="9"/>
      <c r="H43" s="10">
        <f>ROUND(SUM(H37:H42)*E43,0)</f>
        <v>908</v>
      </c>
      <c r="I43" s="10"/>
    </row>
    <row r="44" spans="2:9" x14ac:dyDescent="0.3">
      <c r="E44" s="47"/>
      <c r="F44" s="41"/>
      <c r="G44" s="9"/>
      <c r="H44" s="10"/>
      <c r="I44" s="10"/>
    </row>
    <row r="45" spans="2:9" x14ac:dyDescent="0.3">
      <c r="B45" t="s">
        <v>105</v>
      </c>
      <c r="E45" s="47">
        <f>VLOOKUP($A$4,zone_lu,8)</f>
        <v>0</v>
      </c>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73555.526443440001</v>
      </c>
    </row>
    <row r="49" ht="15" thickTop="1" x14ac:dyDescent="0.3"/>
  </sheetData>
  <mergeCells count="1">
    <mergeCell ref="A4:C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O49"/>
  <sheetViews>
    <sheetView showGridLines="0" topLeftCell="A4" zoomScale="90" zoomScaleNormal="90" workbookViewId="0">
      <selection activeCell="E45" sqref="E45"/>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New Construction</v>
      </c>
    </row>
    <row r="2" spans="1:15" x14ac:dyDescent="0.3">
      <c r="A2" t="s">
        <v>0</v>
      </c>
    </row>
    <row r="3" spans="1:15" x14ac:dyDescent="0.3">
      <c r="A3" t="s">
        <v>49</v>
      </c>
    </row>
    <row r="4" spans="1:15" ht="14.4" customHeight="1" x14ac:dyDescent="0.3">
      <c r="A4" s="88">
        <v>3</v>
      </c>
      <c r="B4" s="88"/>
      <c r="C4" s="88"/>
    </row>
    <row r="6" spans="1:15" x14ac:dyDescent="0.3">
      <c r="B6" t="s">
        <v>50</v>
      </c>
      <c r="F6" s="41"/>
      <c r="G6" s="9"/>
      <c r="H6" s="8"/>
    </row>
    <row r="7" spans="1:15" x14ac:dyDescent="0.3">
      <c r="C7" t="s">
        <v>55</v>
      </c>
      <c r="F7" s="41"/>
      <c r="G7" s="9"/>
      <c r="H7" s="36" t="s">
        <v>112</v>
      </c>
    </row>
    <row r="8" spans="1:15" x14ac:dyDescent="0.3">
      <c r="D8" t="s">
        <v>54</v>
      </c>
      <c r="F8" s="41"/>
      <c r="G8" s="9"/>
      <c r="H8" s="10"/>
    </row>
    <row r="9" spans="1:15" x14ac:dyDescent="0.3">
      <c r="D9" t="s">
        <v>59</v>
      </c>
      <c r="F9" s="41"/>
      <c r="G9" s="10"/>
      <c r="H9" s="10"/>
    </row>
    <row r="10" spans="1:15" x14ac:dyDescent="0.3">
      <c r="E10" s="11"/>
      <c r="F10" s="42"/>
      <c r="G10" s="12"/>
      <c r="H10" s="13">
        <f>SUBTOTAL(9,H6:H9)</f>
        <v>0</v>
      </c>
    </row>
    <row r="11" spans="1:15" x14ac:dyDescent="0.3">
      <c r="F11" s="41"/>
      <c r="G11" s="9"/>
      <c r="H11" s="10">
        <f t="shared" ref="H11:H38" si="0">E11*G11</f>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8</v>
      </c>
      <c r="F14" s="41" t="s">
        <v>62</v>
      </c>
      <c r="G14" s="29">
        <v>1200</v>
      </c>
      <c r="H14" s="10">
        <f t="shared" si="0"/>
        <v>9600</v>
      </c>
    </row>
    <row r="15" spans="1:15" x14ac:dyDescent="0.3">
      <c r="D15" s="22" t="s">
        <v>78</v>
      </c>
      <c r="F15" s="41"/>
      <c r="G15" s="9"/>
      <c r="H15" s="10">
        <f t="shared" si="0"/>
        <v>0</v>
      </c>
    </row>
    <row r="16" spans="1:15" x14ac:dyDescent="0.3">
      <c r="D16" t="s">
        <v>64</v>
      </c>
      <c r="E16">
        <v>8</v>
      </c>
      <c r="F16" s="41" t="s">
        <v>60</v>
      </c>
      <c r="G16" s="9">
        <v>250</v>
      </c>
      <c r="H16" s="10">
        <f t="shared" si="0"/>
        <v>2000</v>
      </c>
    </row>
    <row r="17" spans="3:8" x14ac:dyDescent="0.3">
      <c r="D17" t="s">
        <v>54</v>
      </c>
      <c r="E17">
        <f>16*6</f>
        <v>96</v>
      </c>
      <c r="F17" s="41" t="s">
        <v>58</v>
      </c>
      <c r="G17" s="9">
        <f>VLOOKUP($A$4,zone_lu,4)</f>
        <v>58.866228829999997</v>
      </c>
      <c r="H17" s="10">
        <f t="shared" si="0"/>
        <v>5651.1579676799993</v>
      </c>
    </row>
    <row r="18" spans="3:8" x14ac:dyDescent="0.3">
      <c r="C18" t="s">
        <v>52</v>
      </c>
      <c r="F18" s="41"/>
      <c r="G18" s="9"/>
      <c r="H18" s="37" t="s">
        <v>115</v>
      </c>
    </row>
    <row r="19" spans="3:8" x14ac:dyDescent="0.3">
      <c r="D19" t="s">
        <v>66</v>
      </c>
      <c r="F19" s="41"/>
      <c r="G19" s="28"/>
      <c r="H19" s="10"/>
    </row>
    <row r="20" spans="3:8" x14ac:dyDescent="0.3">
      <c r="D20" s="14" t="s">
        <v>18</v>
      </c>
      <c r="F20" s="41"/>
      <c r="G20" s="10"/>
      <c r="H20" s="10"/>
    </row>
    <row r="21" spans="3:8" x14ac:dyDescent="0.3">
      <c r="D21" s="15" t="s">
        <v>68</v>
      </c>
      <c r="F21" s="41"/>
      <c r="G21" s="10"/>
      <c r="H21" s="10"/>
    </row>
    <row r="22" spans="3:8" x14ac:dyDescent="0.3">
      <c r="D22" s="15" t="s">
        <v>114</v>
      </c>
      <c r="F22" s="41"/>
      <c r="G22" s="10"/>
      <c r="H22" s="10"/>
    </row>
    <row r="23" spans="3:8" x14ac:dyDescent="0.3">
      <c r="D23" t="s">
        <v>64</v>
      </c>
      <c r="F23" s="41"/>
      <c r="G23" s="10"/>
      <c r="H23" s="10"/>
    </row>
    <row r="24" spans="3:8" x14ac:dyDescent="0.3">
      <c r="D24" t="s">
        <v>54</v>
      </c>
      <c r="F24" s="41"/>
      <c r="G24" s="9"/>
      <c r="H24" s="10"/>
    </row>
    <row r="25" spans="3:8" x14ac:dyDescent="0.3">
      <c r="C25" t="s">
        <v>106</v>
      </c>
      <c r="F25" s="41"/>
      <c r="G25" s="10"/>
      <c r="H25" s="10"/>
    </row>
    <row r="26" spans="3:8" x14ac:dyDescent="0.3">
      <c r="D26" t="s">
        <v>111</v>
      </c>
      <c r="E26">
        <v>8</v>
      </c>
      <c r="F26" s="41" t="s">
        <v>62</v>
      </c>
      <c r="G26" s="9">
        <v>400</v>
      </c>
      <c r="H26" s="10">
        <f t="shared" si="0"/>
        <v>3200</v>
      </c>
    </row>
    <row r="27" spans="3:8" x14ac:dyDescent="0.3">
      <c r="C27" t="s">
        <v>128</v>
      </c>
      <c r="F27" s="41"/>
      <c r="G27" s="9"/>
      <c r="H27" s="10"/>
    </row>
    <row r="28" spans="3:8" x14ac:dyDescent="0.3">
      <c r="D28" t="s">
        <v>129</v>
      </c>
      <c r="E28">
        <v>8</v>
      </c>
      <c r="F28" s="41" t="s">
        <v>62</v>
      </c>
      <c r="G28" s="9">
        <v>75</v>
      </c>
      <c r="H28" s="10">
        <f t="shared" si="0"/>
        <v>600</v>
      </c>
    </row>
    <row r="29" spans="3:8" x14ac:dyDescent="0.3">
      <c r="D29" t="s">
        <v>130</v>
      </c>
      <c r="F29" s="41"/>
      <c r="G29" s="9"/>
      <c r="H29" s="36" t="s">
        <v>112</v>
      </c>
    </row>
    <row r="30" spans="3:8" x14ac:dyDescent="0.3">
      <c r="D30" t="s">
        <v>131</v>
      </c>
      <c r="E30">
        <v>240</v>
      </c>
      <c r="F30" s="41" t="s">
        <v>67</v>
      </c>
      <c r="G30" s="9">
        <v>3</v>
      </c>
      <c r="H30" s="10">
        <f t="shared" si="0"/>
        <v>720</v>
      </c>
    </row>
    <row r="31" spans="3:8" x14ac:dyDescent="0.3">
      <c r="D31" t="s">
        <v>54</v>
      </c>
      <c r="E31">
        <v>96</v>
      </c>
      <c r="F31" s="41" t="s">
        <v>58</v>
      </c>
      <c r="G31" s="9">
        <f>VLOOKUP($A$4,zone_lu,4)</f>
        <v>58.866228829999997</v>
      </c>
      <c r="H31" s="10">
        <f t="shared" si="0"/>
        <v>5651.1579676799993</v>
      </c>
    </row>
    <row r="32" spans="3:8" x14ac:dyDescent="0.3">
      <c r="C32" t="s">
        <v>118</v>
      </c>
      <c r="F32" s="41"/>
      <c r="G32" s="9"/>
      <c r="H32" s="10">
        <f t="shared" si="0"/>
        <v>0</v>
      </c>
    </row>
    <row r="33" spans="2:9" x14ac:dyDescent="0.3">
      <c r="D33" t="s">
        <v>64</v>
      </c>
      <c r="F33" s="41"/>
      <c r="G33" s="9"/>
      <c r="H33" s="36" t="s">
        <v>132</v>
      </c>
    </row>
    <row r="34" spans="2:9" x14ac:dyDescent="0.3">
      <c r="D34" t="s">
        <v>54</v>
      </c>
      <c r="F34" s="41"/>
      <c r="G34" s="9"/>
      <c r="H34" s="36" t="s">
        <v>132</v>
      </c>
    </row>
    <row r="35" spans="2:9" x14ac:dyDescent="0.3">
      <c r="E35" s="11"/>
      <c r="F35" s="42"/>
      <c r="G35" s="12"/>
      <c r="H35" s="13">
        <f>SUBTOTAL(9,H12:H34)</f>
        <v>27422.315935359999</v>
      </c>
    </row>
    <row r="36" spans="2:9" x14ac:dyDescent="0.3">
      <c r="E36" s="16"/>
      <c r="F36" s="43"/>
      <c r="G36" s="17"/>
      <c r="H36" s="18"/>
    </row>
    <row r="37" spans="2:9" x14ac:dyDescent="0.3">
      <c r="B37" s="11"/>
      <c r="C37" s="11" t="s">
        <v>71</v>
      </c>
      <c r="D37" s="11"/>
      <c r="E37" s="11"/>
      <c r="F37" s="42"/>
      <c r="G37" s="12"/>
      <c r="H37" s="13">
        <f>SUBTOTAL(9,H6:H36)</f>
        <v>27422.315935359999</v>
      </c>
    </row>
    <row r="38" spans="2:9" x14ac:dyDescent="0.3">
      <c r="F38" s="41"/>
      <c r="G38" s="9"/>
      <c r="H38" s="10">
        <f t="shared" si="0"/>
        <v>0</v>
      </c>
    </row>
    <row r="39" spans="2:9" x14ac:dyDescent="0.3">
      <c r="B39" t="s">
        <v>104</v>
      </c>
      <c r="E39" s="49">
        <f>ROUND(VLOOKUP($A$4,zone_lu,5)*0.6,2)</f>
        <v>0.09</v>
      </c>
      <c r="F39" s="41"/>
      <c r="G39" s="9"/>
      <c r="H39" s="10">
        <f>ROUND(H37*E39,0)</f>
        <v>2468</v>
      </c>
      <c r="I39" s="10">
        <f>ROUND(I37*F39,0)</f>
        <v>0</v>
      </c>
    </row>
    <row r="40" spans="2:9" x14ac:dyDescent="0.3">
      <c r="E40" s="49"/>
      <c r="F40" s="41"/>
      <c r="G40" s="9"/>
      <c r="H40" s="10"/>
      <c r="I40" s="10"/>
    </row>
    <row r="41" spans="2:9" x14ac:dyDescent="0.3">
      <c r="B41" t="s">
        <v>103</v>
      </c>
      <c r="E41" s="49">
        <f>ROUND(VLOOKUP($A$4,zone_lu,6)*0.4,2)</f>
        <v>0.04</v>
      </c>
      <c r="F41" s="41"/>
      <c r="G41" s="9"/>
      <c r="H41" s="10">
        <f>ROUND(SUM(H37:H40)*E41,0)</f>
        <v>1196</v>
      </c>
      <c r="I41" s="10">
        <f>ROUND(SUM(I37:I40)*F41,0)</f>
        <v>0</v>
      </c>
    </row>
    <row r="42" spans="2:9" x14ac:dyDescent="0.3">
      <c r="E42" s="49"/>
      <c r="F42" s="41"/>
      <c r="G42" s="9"/>
      <c r="H42" s="10"/>
      <c r="I42" s="10"/>
    </row>
    <row r="43" spans="2:9" x14ac:dyDescent="0.3">
      <c r="B43" t="s">
        <v>127</v>
      </c>
      <c r="E43" s="49">
        <f>VLOOKUP($A$4,zone_lu,7)</f>
        <v>1.2500000000000001E-2</v>
      </c>
      <c r="F43" s="41"/>
      <c r="G43" s="9"/>
      <c r="H43" s="10">
        <f>ROUND(SUM(H37:H42)*E43,0)</f>
        <v>389</v>
      </c>
      <c r="I43" s="10">
        <f>ROUND(SUM(I37:I42)*F43,0)</f>
        <v>0</v>
      </c>
    </row>
    <row r="44" spans="2:9" x14ac:dyDescent="0.3">
      <c r="E44" s="49"/>
      <c r="F44" s="41"/>
      <c r="G44" s="9"/>
      <c r="H44" s="10"/>
      <c r="I44" s="10"/>
    </row>
    <row r="45" spans="2:9" x14ac:dyDescent="0.3">
      <c r="B45" t="s">
        <v>105</v>
      </c>
      <c r="E45" s="49"/>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31475.315935359999</v>
      </c>
    </row>
    <row r="49" ht="15" thickTop="1" x14ac:dyDescent="0.3"/>
  </sheetData>
  <mergeCells count="1">
    <mergeCell ref="A4:C4"/>
  </mergeCell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28">
    <tabColor theme="7"/>
  </sheetPr>
  <dimension ref="A1:O49"/>
  <sheetViews>
    <sheetView showGridLines="0" topLeftCell="A7"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Pre-1978</v>
      </c>
    </row>
    <row r="2" spans="1:15" x14ac:dyDescent="0.3">
      <c r="A2" t="s">
        <v>69</v>
      </c>
    </row>
    <row r="3" spans="1:15" x14ac:dyDescent="0.3">
      <c r="A3" t="s">
        <v>70</v>
      </c>
    </row>
    <row r="4" spans="1:15" ht="14.4" customHeight="1" x14ac:dyDescent="0.3">
      <c r="A4" s="88">
        <v>3</v>
      </c>
      <c r="B4" s="88"/>
      <c r="C4" s="88"/>
    </row>
    <row r="6" spans="1:15" x14ac:dyDescent="0.3">
      <c r="B6" t="s">
        <v>50</v>
      </c>
      <c r="F6" s="41"/>
      <c r="G6" s="9"/>
      <c r="H6" s="8"/>
    </row>
    <row r="7" spans="1:15" x14ac:dyDescent="0.3">
      <c r="C7" t="s">
        <v>120</v>
      </c>
      <c r="F7" s="41"/>
      <c r="G7" s="9"/>
      <c r="H7" s="8"/>
    </row>
    <row r="8" spans="1:15" x14ac:dyDescent="0.3">
      <c r="D8" t="s">
        <v>54</v>
      </c>
      <c r="E8">
        <v>8</v>
      </c>
      <c r="F8" s="41" t="s">
        <v>58</v>
      </c>
      <c r="G8" s="9">
        <f>VLOOKUP($A$4,zone_lu,4)</f>
        <v>58.866228829999997</v>
      </c>
      <c r="H8" s="10">
        <f>E8*G8</f>
        <v>470.92983063999998</v>
      </c>
    </row>
    <row r="9" spans="1:15" x14ac:dyDescent="0.3">
      <c r="D9" t="s">
        <v>59</v>
      </c>
      <c r="E9">
        <v>1</v>
      </c>
      <c r="F9" s="41" t="s">
        <v>60</v>
      </c>
      <c r="G9" s="9">
        <v>500</v>
      </c>
      <c r="H9" s="10">
        <f t="shared" ref="H9:H38" si="0">E9*G9</f>
        <v>500</v>
      </c>
    </row>
    <row r="10" spans="1:15" x14ac:dyDescent="0.3">
      <c r="E10" s="11"/>
      <c r="F10" s="42"/>
      <c r="G10" s="12"/>
      <c r="H10" s="13">
        <f>SUBTOTAL(9,H6:H9)</f>
        <v>970.92983063999998</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39" t="s">
        <v>117</v>
      </c>
    </row>
    <row r="14" spans="1:15" x14ac:dyDescent="0.3">
      <c r="D14" t="s">
        <v>61</v>
      </c>
      <c r="F14" s="41"/>
      <c r="G14" s="28"/>
      <c r="H14" s="10"/>
    </row>
    <row r="15" spans="1:15" x14ac:dyDescent="0.3">
      <c r="D15" s="22" t="s">
        <v>73</v>
      </c>
      <c r="F15" s="41"/>
      <c r="G15" s="10"/>
      <c r="H15" s="10"/>
    </row>
    <row r="16" spans="1:15" x14ac:dyDescent="0.3">
      <c r="D16" t="s">
        <v>64</v>
      </c>
      <c r="F16" s="41"/>
      <c r="G16" s="10"/>
      <c r="H16" s="10"/>
    </row>
    <row r="17" spans="3:8" x14ac:dyDescent="0.3">
      <c r="D17" t="s">
        <v>54</v>
      </c>
      <c r="F17" s="41"/>
      <c r="G17" s="10"/>
      <c r="H17" s="10"/>
    </row>
    <row r="18" spans="3:8" x14ac:dyDescent="0.3">
      <c r="C18" t="s">
        <v>52</v>
      </c>
      <c r="F18" s="41"/>
      <c r="G18" s="9"/>
      <c r="H18" s="10">
        <f t="shared" ref="H18" si="1">E18*G18</f>
        <v>0</v>
      </c>
    </row>
    <row r="19" spans="3:8" x14ac:dyDescent="0.3">
      <c r="D19" t="s">
        <v>66</v>
      </c>
      <c r="E19">
        <v>8</v>
      </c>
      <c r="F19" s="41" t="s">
        <v>62</v>
      </c>
      <c r="G19" s="29">
        <v>1500</v>
      </c>
      <c r="H19" s="10">
        <f t="shared" si="0"/>
        <v>12000</v>
      </c>
    </row>
    <row r="20" spans="3:8" ht="28.8" x14ac:dyDescent="0.3">
      <c r="D20" s="24" t="s">
        <v>143</v>
      </c>
      <c r="E20" s="1"/>
      <c r="F20" s="41"/>
      <c r="G20" s="9"/>
      <c r="H20" s="10">
        <f t="shared" si="0"/>
        <v>0</v>
      </c>
    </row>
    <row r="21" spans="3:8" x14ac:dyDescent="0.3">
      <c r="D21" s="15" t="s">
        <v>68</v>
      </c>
      <c r="F21" s="41"/>
      <c r="G21" s="9"/>
      <c r="H21" s="39" t="s">
        <v>112</v>
      </c>
    </row>
    <row r="22" spans="3:8" x14ac:dyDescent="0.3">
      <c r="D22" s="15" t="s">
        <v>114</v>
      </c>
      <c r="F22" s="41"/>
      <c r="G22" s="9"/>
      <c r="H22" s="39" t="s">
        <v>112</v>
      </c>
    </row>
    <row r="23" spans="3:8" x14ac:dyDescent="0.3">
      <c r="D23" t="s">
        <v>64</v>
      </c>
      <c r="E23">
        <v>8</v>
      </c>
      <c r="F23" s="41" t="s">
        <v>60</v>
      </c>
      <c r="G23" s="9">
        <v>400</v>
      </c>
      <c r="H23" s="10">
        <f t="shared" si="0"/>
        <v>3200</v>
      </c>
    </row>
    <row r="24" spans="3:8" x14ac:dyDescent="0.3">
      <c r="D24" t="s">
        <v>54</v>
      </c>
      <c r="E24">
        <f>8*24</f>
        <v>192</v>
      </c>
      <c r="F24" s="41" t="s">
        <v>58</v>
      </c>
      <c r="G24" s="9">
        <f>VLOOKUP($A$4,zone_lu,4)</f>
        <v>58.866228829999997</v>
      </c>
      <c r="H24" s="10">
        <f t="shared" si="0"/>
        <v>11302.315935359999</v>
      </c>
    </row>
    <row r="25" spans="3:8" x14ac:dyDescent="0.3">
      <c r="C25" t="s">
        <v>106</v>
      </c>
      <c r="F25" s="41"/>
      <c r="G25" s="9"/>
      <c r="H25" s="10"/>
    </row>
    <row r="26" spans="3:8" x14ac:dyDescent="0.3">
      <c r="D26" t="s">
        <v>111</v>
      </c>
      <c r="E26">
        <v>8</v>
      </c>
      <c r="F26" s="41" t="s">
        <v>62</v>
      </c>
      <c r="G26" s="9">
        <v>200</v>
      </c>
      <c r="H26" s="10">
        <f t="shared" si="0"/>
        <v>1600</v>
      </c>
    </row>
    <row r="27" spans="3:8" x14ac:dyDescent="0.3">
      <c r="C27" t="s">
        <v>128</v>
      </c>
      <c r="F27" s="41"/>
      <c r="G27" s="9"/>
      <c r="H27" s="10"/>
    </row>
    <row r="28" spans="3:8" x14ac:dyDescent="0.3">
      <c r="D28" t="s">
        <v>129</v>
      </c>
      <c r="E28">
        <v>8</v>
      </c>
      <c r="F28" s="41" t="s">
        <v>62</v>
      </c>
      <c r="G28" s="9">
        <v>125</v>
      </c>
      <c r="H28" s="10">
        <f t="shared" si="0"/>
        <v>1000</v>
      </c>
    </row>
    <row r="29" spans="3:8" x14ac:dyDescent="0.3">
      <c r="D29" t="s">
        <v>130</v>
      </c>
      <c r="E29">
        <v>1</v>
      </c>
      <c r="F29" s="41" t="s">
        <v>62</v>
      </c>
      <c r="G29" s="9">
        <v>800</v>
      </c>
      <c r="H29" s="10">
        <f t="shared" si="0"/>
        <v>800</v>
      </c>
    </row>
    <row r="30" spans="3:8" x14ac:dyDescent="0.3">
      <c r="D30" t="s">
        <v>131</v>
      </c>
      <c r="F30" s="41"/>
      <c r="G30" s="9"/>
      <c r="H30" s="39" t="s">
        <v>112</v>
      </c>
    </row>
    <row r="31" spans="3:8" x14ac:dyDescent="0.3">
      <c r="D31" t="s">
        <v>54</v>
      </c>
      <c r="E31">
        <v>72</v>
      </c>
      <c r="F31" s="41" t="s">
        <v>58</v>
      </c>
      <c r="G31" s="9">
        <f>VLOOKUP($A$4,zone_lu,4)</f>
        <v>58.866228829999997</v>
      </c>
      <c r="H31" s="10">
        <f t="shared" si="0"/>
        <v>4238.3684757599995</v>
      </c>
    </row>
    <row r="32" spans="3:8" x14ac:dyDescent="0.3">
      <c r="C32" s="23" t="s">
        <v>107</v>
      </c>
      <c r="F32" s="41"/>
      <c r="G32" s="9"/>
      <c r="H32" s="37"/>
    </row>
    <row r="33" spans="2:9" x14ac:dyDescent="0.3">
      <c r="D33" t="s">
        <v>64</v>
      </c>
      <c r="F33" s="41"/>
      <c r="G33" s="9"/>
      <c r="H33" s="39" t="s">
        <v>112</v>
      </c>
    </row>
    <row r="34" spans="2:9" x14ac:dyDescent="0.3">
      <c r="D34" t="s">
        <v>54</v>
      </c>
      <c r="F34" s="41"/>
      <c r="G34" s="9"/>
      <c r="H34" s="39" t="s">
        <v>112</v>
      </c>
    </row>
    <row r="35" spans="2:9" x14ac:dyDescent="0.3">
      <c r="E35" s="11"/>
      <c r="F35" s="42"/>
      <c r="G35" s="12"/>
      <c r="H35" s="13">
        <f>SUBTOTAL(9,H12:H34)</f>
        <v>34140.684411119997</v>
      </c>
    </row>
    <row r="36" spans="2:9" x14ac:dyDescent="0.3">
      <c r="E36" s="16"/>
      <c r="F36" s="43"/>
      <c r="G36" s="17"/>
      <c r="H36" s="18"/>
    </row>
    <row r="37" spans="2:9" x14ac:dyDescent="0.3">
      <c r="B37" s="11"/>
      <c r="C37" s="11" t="s">
        <v>71</v>
      </c>
      <c r="D37" s="11"/>
      <c r="E37" s="11"/>
      <c r="F37" s="42"/>
      <c r="G37" s="12"/>
      <c r="H37" s="13">
        <f>SUBTOTAL(9,H6:H36)</f>
        <v>35111.614241759999</v>
      </c>
    </row>
    <row r="38" spans="2:9" x14ac:dyDescent="0.3">
      <c r="F38" s="41"/>
      <c r="G38" s="9"/>
      <c r="H38" s="10">
        <f t="shared" si="0"/>
        <v>0</v>
      </c>
    </row>
    <row r="39" spans="2:9" x14ac:dyDescent="0.3">
      <c r="B39" t="s">
        <v>104</v>
      </c>
      <c r="E39" s="47">
        <f>VLOOKUP($A$4,zone_lu,5)</f>
        <v>0.15</v>
      </c>
      <c r="F39" s="41"/>
      <c r="G39" s="9"/>
      <c r="H39" s="10">
        <f>ROUND(H37*E39,0)</f>
        <v>5267</v>
      </c>
      <c r="I39" s="10">
        <f>ROUND(I37*F39,0)</f>
        <v>0</v>
      </c>
    </row>
    <row r="40" spans="2:9" x14ac:dyDescent="0.3">
      <c r="E40" s="47"/>
      <c r="F40" s="41"/>
      <c r="G40" s="9"/>
      <c r="H40" s="10"/>
      <c r="I40" s="10"/>
    </row>
    <row r="41" spans="2:9" x14ac:dyDescent="0.3">
      <c r="B41" t="s">
        <v>103</v>
      </c>
      <c r="E41" s="47">
        <f>VLOOKUP($A$4,zone_lu,6)</f>
        <v>0.1</v>
      </c>
      <c r="F41" s="41"/>
      <c r="G41" s="9"/>
      <c r="H41" s="10">
        <f>ROUND(SUM(H37:H40)*E41,0)</f>
        <v>4038</v>
      </c>
      <c r="I41" s="10"/>
    </row>
    <row r="42" spans="2:9" x14ac:dyDescent="0.3">
      <c r="E42" s="47"/>
      <c r="F42" s="41"/>
      <c r="G42" s="9"/>
      <c r="H42" s="10"/>
      <c r="I42" s="10"/>
    </row>
    <row r="43" spans="2:9" x14ac:dyDescent="0.3">
      <c r="B43" t="s">
        <v>127</v>
      </c>
      <c r="E43" s="47">
        <f>VLOOKUP($A$4,zone_lu,7)</f>
        <v>1.2500000000000001E-2</v>
      </c>
      <c r="F43" s="41"/>
      <c r="G43" s="9"/>
      <c r="H43" s="10">
        <f>ROUND(SUM(H37:H42)*E43,0)</f>
        <v>555</v>
      </c>
      <c r="I43" s="10"/>
    </row>
    <row r="44" spans="2:9" x14ac:dyDescent="0.3">
      <c r="E44" s="47"/>
      <c r="F44" s="41"/>
      <c r="G44" s="9"/>
      <c r="H44" s="10"/>
      <c r="I44" s="10"/>
    </row>
    <row r="45" spans="2:9" x14ac:dyDescent="0.3">
      <c r="B45" t="s">
        <v>105</v>
      </c>
      <c r="E45" s="47">
        <f>VLOOKUP($A$4,zone_lu,8)</f>
        <v>0</v>
      </c>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44971.614241759999</v>
      </c>
    </row>
    <row r="49" ht="15" thickTop="1" x14ac:dyDescent="0.3"/>
  </sheetData>
  <mergeCells count="1">
    <mergeCell ref="A4:C4"/>
  </mergeCell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115">
    <tabColor theme="7"/>
  </sheetPr>
  <dimension ref="A1:O49"/>
  <sheetViews>
    <sheetView showGridLines="0" topLeftCell="A7"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Pre-1978</v>
      </c>
    </row>
    <row r="2" spans="1:15" x14ac:dyDescent="0.3">
      <c r="A2" t="s">
        <v>69</v>
      </c>
    </row>
    <row r="3" spans="1:15" x14ac:dyDescent="0.3">
      <c r="A3" t="s">
        <v>70</v>
      </c>
    </row>
    <row r="4" spans="1:15" ht="14.4" customHeight="1" x14ac:dyDescent="0.3">
      <c r="A4" s="88">
        <v>3</v>
      </c>
      <c r="B4" s="88"/>
      <c r="C4" s="88"/>
    </row>
    <row r="6" spans="1:15" x14ac:dyDescent="0.3">
      <c r="B6" t="s">
        <v>50</v>
      </c>
      <c r="F6" s="41"/>
      <c r="G6" s="9"/>
      <c r="H6" s="8"/>
    </row>
    <row r="7" spans="1:15" x14ac:dyDescent="0.3">
      <c r="C7" t="s">
        <v>120</v>
      </c>
      <c r="F7" s="41"/>
      <c r="G7" s="9"/>
      <c r="H7" s="8"/>
    </row>
    <row r="8" spans="1:15" x14ac:dyDescent="0.3">
      <c r="D8" t="s">
        <v>54</v>
      </c>
      <c r="E8">
        <v>8</v>
      </c>
      <c r="F8" s="41" t="s">
        <v>58</v>
      </c>
      <c r="G8" s="9">
        <f>VLOOKUP($A$4,zone_lu,4)</f>
        <v>58.866228829999997</v>
      </c>
      <c r="H8" s="10">
        <f>E8*G8</f>
        <v>470.92983063999998</v>
      </c>
    </row>
    <row r="9" spans="1:15" x14ac:dyDescent="0.3">
      <c r="D9" t="s">
        <v>59</v>
      </c>
      <c r="E9">
        <v>1</v>
      </c>
      <c r="F9" s="41" t="s">
        <v>60</v>
      </c>
      <c r="G9" s="9">
        <v>500</v>
      </c>
      <c r="H9" s="10">
        <f t="shared" ref="H9:H38" si="0">E9*G9</f>
        <v>500</v>
      </c>
    </row>
    <row r="10" spans="1:15" x14ac:dyDescent="0.3">
      <c r="E10" s="11"/>
      <c r="F10" s="42"/>
      <c r="G10" s="12"/>
      <c r="H10" s="13">
        <f>SUBTOTAL(9,H6:H9)</f>
        <v>970.92983063999998</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39" t="s">
        <v>117</v>
      </c>
    </row>
    <row r="14" spans="1:15" x14ac:dyDescent="0.3">
      <c r="D14" t="s">
        <v>61</v>
      </c>
      <c r="F14" s="41"/>
      <c r="G14" s="28"/>
      <c r="H14" s="10"/>
    </row>
    <row r="15" spans="1:15" x14ac:dyDescent="0.3">
      <c r="D15" s="22" t="s">
        <v>73</v>
      </c>
      <c r="F15" s="41"/>
      <c r="G15" s="10"/>
      <c r="H15" s="10"/>
    </row>
    <row r="16" spans="1:15" x14ac:dyDescent="0.3">
      <c r="D16" t="s">
        <v>64</v>
      </c>
      <c r="F16" s="41"/>
      <c r="G16" s="10"/>
      <c r="H16" s="10"/>
    </row>
    <row r="17" spans="3:8" x14ac:dyDescent="0.3">
      <c r="D17" t="s">
        <v>54</v>
      </c>
      <c r="F17" s="41"/>
      <c r="G17" s="10"/>
      <c r="H17" s="10"/>
    </row>
    <row r="18" spans="3:8" x14ac:dyDescent="0.3">
      <c r="C18" t="s">
        <v>52</v>
      </c>
      <c r="F18" s="41"/>
      <c r="G18" s="9"/>
      <c r="H18" s="10">
        <f t="shared" ref="H18:H31" si="1">E18*G18</f>
        <v>0</v>
      </c>
    </row>
    <row r="19" spans="3:8" x14ac:dyDescent="0.3">
      <c r="D19" t="s">
        <v>66</v>
      </c>
      <c r="E19">
        <v>8</v>
      </c>
      <c r="F19" s="41" t="s">
        <v>62</v>
      </c>
      <c r="G19" s="29">
        <v>1200</v>
      </c>
      <c r="H19" s="10">
        <f t="shared" si="1"/>
        <v>9600</v>
      </c>
    </row>
    <row r="20" spans="3:8" ht="28.8" x14ac:dyDescent="0.3">
      <c r="D20" s="24" t="s">
        <v>97</v>
      </c>
      <c r="E20" s="1"/>
      <c r="F20" s="41"/>
      <c r="G20" s="9"/>
      <c r="H20" s="10">
        <f t="shared" si="1"/>
        <v>0</v>
      </c>
    </row>
    <row r="21" spans="3:8" x14ac:dyDescent="0.3">
      <c r="D21" s="15" t="s">
        <v>68</v>
      </c>
      <c r="F21" s="41"/>
      <c r="G21" s="9"/>
      <c r="H21" s="39" t="s">
        <v>112</v>
      </c>
    </row>
    <row r="22" spans="3:8" x14ac:dyDescent="0.3">
      <c r="D22" s="15" t="s">
        <v>114</v>
      </c>
      <c r="F22" s="41"/>
      <c r="G22" s="9"/>
      <c r="H22" s="39" t="s">
        <v>112</v>
      </c>
    </row>
    <row r="23" spans="3:8" x14ac:dyDescent="0.3">
      <c r="D23" t="s">
        <v>64</v>
      </c>
      <c r="E23">
        <v>8</v>
      </c>
      <c r="F23" s="41" t="s">
        <v>60</v>
      </c>
      <c r="G23" s="9">
        <v>400</v>
      </c>
      <c r="H23" s="10">
        <f t="shared" si="1"/>
        <v>3200</v>
      </c>
    </row>
    <row r="24" spans="3:8" x14ac:dyDescent="0.3">
      <c r="D24" t="s">
        <v>54</v>
      </c>
      <c r="E24">
        <f>8*24</f>
        <v>192</v>
      </c>
      <c r="F24" s="41" t="s">
        <v>58</v>
      </c>
      <c r="G24" s="9">
        <f>VLOOKUP($A$4,zone_lu,4)</f>
        <v>58.866228829999997</v>
      </c>
      <c r="H24" s="10">
        <f t="shared" si="1"/>
        <v>11302.315935359999</v>
      </c>
    </row>
    <row r="25" spans="3:8" x14ac:dyDescent="0.3">
      <c r="C25" t="s">
        <v>106</v>
      </c>
      <c r="F25" s="41"/>
      <c r="G25" s="9"/>
      <c r="H25" s="10"/>
    </row>
    <row r="26" spans="3:8" x14ac:dyDescent="0.3">
      <c r="D26" t="s">
        <v>111</v>
      </c>
      <c r="E26">
        <v>8</v>
      </c>
      <c r="F26" s="41" t="s">
        <v>62</v>
      </c>
      <c r="G26" s="9">
        <v>200</v>
      </c>
      <c r="H26" s="10">
        <f t="shared" si="1"/>
        <v>1600</v>
      </c>
    </row>
    <row r="27" spans="3:8" x14ac:dyDescent="0.3">
      <c r="C27" t="s">
        <v>128</v>
      </c>
      <c r="F27" s="41"/>
      <c r="G27" s="9"/>
      <c r="H27" s="10"/>
    </row>
    <row r="28" spans="3:8" x14ac:dyDescent="0.3">
      <c r="D28" t="s">
        <v>129</v>
      </c>
      <c r="E28">
        <v>8</v>
      </c>
      <c r="F28" s="41" t="s">
        <v>62</v>
      </c>
      <c r="G28" s="9">
        <v>125</v>
      </c>
      <c r="H28" s="10">
        <f t="shared" si="1"/>
        <v>1000</v>
      </c>
    </row>
    <row r="29" spans="3:8" x14ac:dyDescent="0.3">
      <c r="D29" t="s">
        <v>130</v>
      </c>
      <c r="E29">
        <v>1</v>
      </c>
      <c r="F29" s="41" t="s">
        <v>62</v>
      </c>
      <c r="G29" s="9">
        <v>800</v>
      </c>
      <c r="H29" s="10">
        <f t="shared" si="1"/>
        <v>800</v>
      </c>
    </row>
    <row r="30" spans="3:8" x14ac:dyDescent="0.3">
      <c r="D30" t="s">
        <v>131</v>
      </c>
      <c r="F30" s="41"/>
      <c r="G30" s="9"/>
      <c r="H30" s="39" t="s">
        <v>112</v>
      </c>
    </row>
    <row r="31" spans="3:8" x14ac:dyDescent="0.3">
      <c r="D31" t="s">
        <v>54</v>
      </c>
      <c r="E31">
        <v>72</v>
      </c>
      <c r="F31" s="41" t="s">
        <v>58</v>
      </c>
      <c r="G31" s="9">
        <f>VLOOKUP($A$4,zone_lu,4)</f>
        <v>58.866228829999997</v>
      </c>
      <c r="H31" s="10">
        <f t="shared" si="1"/>
        <v>4238.3684757599995</v>
      </c>
    </row>
    <row r="32" spans="3:8" x14ac:dyDescent="0.3">
      <c r="C32" s="23" t="s">
        <v>107</v>
      </c>
      <c r="F32" s="41"/>
      <c r="G32" s="9"/>
      <c r="H32" s="37"/>
    </row>
    <row r="33" spans="2:9" x14ac:dyDescent="0.3">
      <c r="D33" t="s">
        <v>64</v>
      </c>
      <c r="F33" s="41"/>
      <c r="G33" s="9"/>
      <c r="H33" s="39" t="s">
        <v>112</v>
      </c>
    </row>
    <row r="34" spans="2:9" x14ac:dyDescent="0.3">
      <c r="D34" t="s">
        <v>54</v>
      </c>
      <c r="F34" s="41"/>
      <c r="G34" s="9"/>
      <c r="H34" s="39" t="s">
        <v>112</v>
      </c>
    </row>
    <row r="35" spans="2:9" x14ac:dyDescent="0.3">
      <c r="E35" s="11"/>
      <c r="F35" s="42"/>
      <c r="G35" s="12"/>
      <c r="H35" s="13">
        <f>SUBTOTAL(9,H12:H34)</f>
        <v>31740.684411119997</v>
      </c>
    </row>
    <row r="36" spans="2:9" x14ac:dyDescent="0.3">
      <c r="E36" s="16"/>
      <c r="F36" s="43"/>
      <c r="G36" s="17"/>
      <c r="H36" s="18"/>
    </row>
    <row r="37" spans="2:9" x14ac:dyDescent="0.3">
      <c r="B37" s="11"/>
      <c r="C37" s="11" t="s">
        <v>71</v>
      </c>
      <c r="D37" s="11"/>
      <c r="E37" s="11"/>
      <c r="F37" s="42"/>
      <c r="G37" s="12"/>
      <c r="H37" s="13">
        <f>SUBTOTAL(9,H6:H36)</f>
        <v>32711.614241759999</v>
      </c>
    </row>
    <row r="38" spans="2:9" x14ac:dyDescent="0.3">
      <c r="F38" s="41"/>
      <c r="G38" s="9"/>
      <c r="H38" s="10">
        <f t="shared" si="0"/>
        <v>0</v>
      </c>
    </row>
    <row r="39" spans="2:9" x14ac:dyDescent="0.3">
      <c r="B39" t="s">
        <v>104</v>
      </c>
      <c r="E39" s="47">
        <f>VLOOKUP($A$4,zone_lu,5)</f>
        <v>0.15</v>
      </c>
      <c r="F39" s="41"/>
      <c r="G39" s="9"/>
      <c r="H39" s="10">
        <f>ROUND(H37*E39,0)</f>
        <v>4907</v>
      </c>
      <c r="I39" s="10">
        <f>ROUND(I37*F39,0)</f>
        <v>0</v>
      </c>
    </row>
    <row r="40" spans="2:9" x14ac:dyDescent="0.3">
      <c r="E40" s="47"/>
      <c r="F40" s="41"/>
      <c r="G40" s="9"/>
      <c r="H40" s="10"/>
      <c r="I40" s="10"/>
    </row>
    <row r="41" spans="2:9" x14ac:dyDescent="0.3">
      <c r="B41" t="s">
        <v>103</v>
      </c>
      <c r="E41" s="47">
        <f>VLOOKUP($A$4,zone_lu,6)</f>
        <v>0.1</v>
      </c>
      <c r="F41" s="41"/>
      <c r="G41" s="9"/>
      <c r="H41" s="10">
        <f>ROUND(SUM(H37:H40)*E41,0)</f>
        <v>3762</v>
      </c>
      <c r="I41" s="10"/>
    </row>
    <row r="42" spans="2:9" x14ac:dyDescent="0.3">
      <c r="E42" s="47"/>
      <c r="F42" s="41"/>
      <c r="G42" s="9"/>
      <c r="H42" s="10"/>
      <c r="I42" s="10"/>
    </row>
    <row r="43" spans="2:9" x14ac:dyDescent="0.3">
      <c r="B43" t="s">
        <v>127</v>
      </c>
      <c r="E43" s="47">
        <f>VLOOKUP($A$4,zone_lu,7)</f>
        <v>1.2500000000000001E-2</v>
      </c>
      <c r="F43" s="41"/>
      <c r="G43" s="9"/>
      <c r="H43" s="10">
        <f>ROUND(SUM(H37:H42)*E43,0)</f>
        <v>517</v>
      </c>
      <c r="I43" s="10"/>
    </row>
    <row r="44" spans="2:9" x14ac:dyDescent="0.3">
      <c r="E44" s="47"/>
      <c r="F44" s="41"/>
      <c r="G44" s="9"/>
      <c r="H44" s="10"/>
      <c r="I44" s="10"/>
    </row>
    <row r="45" spans="2:9" x14ac:dyDescent="0.3">
      <c r="B45" t="s">
        <v>105</v>
      </c>
      <c r="E45" s="47">
        <f>VLOOKUP($A$4,zone_lu,8)</f>
        <v>0</v>
      </c>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41897.614241759999</v>
      </c>
    </row>
    <row r="49" ht="15" thickTop="1" x14ac:dyDescent="0.3"/>
  </sheetData>
  <mergeCells count="1">
    <mergeCell ref="A4:C4"/>
  </mergeCell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2">
    <tabColor theme="7"/>
  </sheetPr>
  <dimension ref="A1:O49"/>
  <sheetViews>
    <sheetView showGridLines="0" topLeftCell="A7"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Pre-1978</v>
      </c>
    </row>
    <row r="2" spans="1:15" x14ac:dyDescent="0.3">
      <c r="A2" t="s">
        <v>69</v>
      </c>
    </row>
    <row r="3" spans="1:15" x14ac:dyDescent="0.3">
      <c r="A3" t="s">
        <v>70</v>
      </c>
    </row>
    <row r="4" spans="1:15" ht="14.4" customHeight="1" x14ac:dyDescent="0.3">
      <c r="A4" s="88">
        <v>4</v>
      </c>
      <c r="B4" s="88"/>
      <c r="C4" s="88"/>
    </row>
    <row r="6" spans="1:15" x14ac:dyDescent="0.3">
      <c r="B6" t="s">
        <v>50</v>
      </c>
      <c r="F6" s="41"/>
      <c r="G6" s="9"/>
      <c r="H6" s="8"/>
    </row>
    <row r="7" spans="1:15" x14ac:dyDescent="0.3">
      <c r="C7" t="s">
        <v>120</v>
      </c>
      <c r="F7" s="41"/>
      <c r="G7" s="9"/>
      <c r="H7" s="8"/>
    </row>
    <row r="8" spans="1:15" x14ac:dyDescent="0.3">
      <c r="D8" t="s">
        <v>54</v>
      </c>
      <c r="E8">
        <v>8</v>
      </c>
      <c r="F8" s="41" t="s">
        <v>58</v>
      </c>
      <c r="G8" s="9">
        <f>VLOOKUP($A$4,zone_lu,4)</f>
        <v>58.866228829999997</v>
      </c>
      <c r="H8" s="10">
        <f>E8*G8</f>
        <v>470.92983063999998</v>
      </c>
    </row>
    <row r="9" spans="1:15" x14ac:dyDescent="0.3">
      <c r="D9" t="s">
        <v>59</v>
      </c>
      <c r="E9">
        <v>1</v>
      </c>
      <c r="F9" s="41" t="s">
        <v>60</v>
      </c>
      <c r="G9" s="9">
        <v>500</v>
      </c>
      <c r="H9" s="10">
        <f t="shared" ref="H9:H38" si="0">E9*G9</f>
        <v>500</v>
      </c>
    </row>
    <row r="10" spans="1:15" x14ac:dyDescent="0.3">
      <c r="E10" s="11"/>
      <c r="F10" s="42"/>
      <c r="G10" s="12"/>
      <c r="H10" s="13">
        <f>SUBTOTAL(9,H6:H9)</f>
        <v>970.92983063999998</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39" t="s">
        <v>117</v>
      </c>
    </row>
    <row r="14" spans="1:15" x14ac:dyDescent="0.3">
      <c r="D14" t="s">
        <v>61</v>
      </c>
      <c r="F14" s="41"/>
      <c r="G14" s="28"/>
      <c r="H14" s="10"/>
    </row>
    <row r="15" spans="1:15" x14ac:dyDescent="0.3">
      <c r="D15" s="22" t="s">
        <v>73</v>
      </c>
      <c r="F15" s="41"/>
      <c r="G15" s="10"/>
      <c r="H15" s="10"/>
    </row>
    <row r="16" spans="1:15" x14ac:dyDescent="0.3">
      <c r="D16" t="s">
        <v>64</v>
      </c>
      <c r="F16" s="41"/>
      <c r="G16" s="10"/>
      <c r="H16" s="10"/>
    </row>
    <row r="17" spans="3:8" x14ac:dyDescent="0.3">
      <c r="D17" t="s">
        <v>54</v>
      </c>
      <c r="F17" s="41"/>
      <c r="G17" s="10"/>
      <c r="H17" s="10"/>
    </row>
    <row r="18" spans="3:8" x14ac:dyDescent="0.3">
      <c r="C18" t="s">
        <v>52</v>
      </c>
      <c r="F18" s="41"/>
      <c r="G18" s="9"/>
      <c r="H18" s="10">
        <f t="shared" ref="H18:H31" si="1">E18*G18</f>
        <v>0</v>
      </c>
    </row>
    <row r="19" spans="3:8" x14ac:dyDescent="0.3">
      <c r="D19" t="s">
        <v>66</v>
      </c>
      <c r="E19">
        <v>8</v>
      </c>
      <c r="F19" s="41" t="s">
        <v>62</v>
      </c>
      <c r="G19" s="29">
        <v>1800</v>
      </c>
      <c r="H19" s="10">
        <f t="shared" si="1"/>
        <v>14400</v>
      </c>
    </row>
    <row r="20" spans="3:8" ht="28.8" x14ac:dyDescent="0.3">
      <c r="D20" s="24" t="s">
        <v>92</v>
      </c>
      <c r="E20" s="1"/>
      <c r="F20" s="41"/>
      <c r="G20" s="9"/>
      <c r="H20" s="10">
        <f t="shared" si="1"/>
        <v>0</v>
      </c>
    </row>
    <row r="21" spans="3:8" x14ac:dyDescent="0.3">
      <c r="D21" s="15" t="s">
        <v>68</v>
      </c>
      <c r="F21" s="41"/>
      <c r="G21" s="9"/>
      <c r="H21" s="39" t="s">
        <v>112</v>
      </c>
    </row>
    <row r="22" spans="3:8" x14ac:dyDescent="0.3">
      <c r="D22" s="15" t="s">
        <v>114</v>
      </c>
      <c r="F22" s="41"/>
      <c r="G22" s="9"/>
      <c r="H22" s="39" t="s">
        <v>112</v>
      </c>
    </row>
    <row r="23" spans="3:8" x14ac:dyDescent="0.3">
      <c r="D23" t="s">
        <v>64</v>
      </c>
      <c r="E23">
        <v>8</v>
      </c>
      <c r="F23" s="41" t="s">
        <v>60</v>
      </c>
      <c r="G23" s="9">
        <v>400</v>
      </c>
      <c r="H23" s="10">
        <f t="shared" si="1"/>
        <v>3200</v>
      </c>
    </row>
    <row r="24" spans="3:8" x14ac:dyDescent="0.3">
      <c r="D24" t="s">
        <v>54</v>
      </c>
      <c r="E24">
        <f>8*24</f>
        <v>192</v>
      </c>
      <c r="F24" s="41" t="s">
        <v>58</v>
      </c>
      <c r="G24" s="9">
        <f>VLOOKUP($A$4,zone_lu,4)</f>
        <v>58.866228829999997</v>
      </c>
      <c r="H24" s="10">
        <f t="shared" si="1"/>
        <v>11302.315935359999</v>
      </c>
    </row>
    <row r="25" spans="3:8" x14ac:dyDescent="0.3">
      <c r="C25" t="s">
        <v>106</v>
      </c>
      <c r="F25" s="41"/>
      <c r="G25" s="9"/>
      <c r="H25" s="10"/>
    </row>
    <row r="26" spans="3:8" x14ac:dyDescent="0.3">
      <c r="D26" t="s">
        <v>111</v>
      </c>
      <c r="E26">
        <v>8</v>
      </c>
      <c r="F26" s="41" t="s">
        <v>62</v>
      </c>
      <c r="G26" s="9">
        <v>200</v>
      </c>
      <c r="H26" s="10">
        <f t="shared" si="1"/>
        <v>1600</v>
      </c>
    </row>
    <row r="27" spans="3:8" x14ac:dyDescent="0.3">
      <c r="C27" t="s">
        <v>128</v>
      </c>
      <c r="F27" s="41"/>
      <c r="G27" s="9"/>
      <c r="H27" s="10"/>
    </row>
    <row r="28" spans="3:8" x14ac:dyDescent="0.3">
      <c r="D28" t="s">
        <v>129</v>
      </c>
      <c r="E28">
        <v>8</v>
      </c>
      <c r="F28" s="41" t="s">
        <v>62</v>
      </c>
      <c r="G28" s="9">
        <v>125</v>
      </c>
      <c r="H28" s="10">
        <f t="shared" si="1"/>
        <v>1000</v>
      </c>
    </row>
    <row r="29" spans="3:8" x14ac:dyDescent="0.3">
      <c r="D29" t="s">
        <v>130</v>
      </c>
      <c r="E29">
        <v>1</v>
      </c>
      <c r="F29" s="41" t="s">
        <v>62</v>
      </c>
      <c r="G29" s="9">
        <v>800</v>
      </c>
      <c r="H29" s="10">
        <f t="shared" si="1"/>
        <v>800</v>
      </c>
    </row>
    <row r="30" spans="3:8" x14ac:dyDescent="0.3">
      <c r="D30" t="s">
        <v>131</v>
      </c>
      <c r="F30" s="41"/>
      <c r="G30" s="9"/>
      <c r="H30" s="39" t="s">
        <v>112</v>
      </c>
    </row>
    <row r="31" spans="3:8" x14ac:dyDescent="0.3">
      <c r="D31" t="s">
        <v>54</v>
      </c>
      <c r="E31">
        <v>72</v>
      </c>
      <c r="F31" s="41" t="s">
        <v>58</v>
      </c>
      <c r="G31" s="9">
        <f>VLOOKUP($A$4,zone_lu,4)</f>
        <v>58.866228829999997</v>
      </c>
      <c r="H31" s="10">
        <f t="shared" si="1"/>
        <v>4238.3684757599995</v>
      </c>
    </row>
    <row r="32" spans="3:8" x14ac:dyDescent="0.3">
      <c r="C32" s="23" t="s">
        <v>107</v>
      </c>
      <c r="F32" s="41"/>
      <c r="G32" s="9"/>
      <c r="H32" s="37"/>
    </row>
    <row r="33" spans="2:9" x14ac:dyDescent="0.3">
      <c r="D33" t="s">
        <v>64</v>
      </c>
      <c r="F33" s="41"/>
      <c r="G33" s="9"/>
      <c r="H33" s="39" t="s">
        <v>112</v>
      </c>
    </row>
    <row r="34" spans="2:9" x14ac:dyDescent="0.3">
      <c r="D34" t="s">
        <v>54</v>
      </c>
      <c r="F34" s="41"/>
      <c r="G34" s="9"/>
      <c r="H34" s="39" t="s">
        <v>112</v>
      </c>
    </row>
    <row r="35" spans="2:9" x14ac:dyDescent="0.3">
      <c r="E35" s="11"/>
      <c r="F35" s="42"/>
      <c r="G35" s="12"/>
      <c r="H35" s="13">
        <f>SUBTOTAL(9,H12:H34)</f>
        <v>36540.684411119997</v>
      </c>
    </row>
    <row r="36" spans="2:9" x14ac:dyDescent="0.3">
      <c r="E36" s="16"/>
      <c r="F36" s="43"/>
      <c r="G36" s="17"/>
      <c r="H36" s="18"/>
    </row>
    <row r="37" spans="2:9" x14ac:dyDescent="0.3">
      <c r="B37" s="11"/>
      <c r="C37" s="11" t="s">
        <v>71</v>
      </c>
      <c r="D37" s="11"/>
      <c r="E37" s="11"/>
      <c r="F37" s="42"/>
      <c r="G37" s="12"/>
      <c r="H37" s="13">
        <f>SUBTOTAL(9,H6:H36)</f>
        <v>37511.614241759999</v>
      </c>
    </row>
    <row r="38" spans="2:9" x14ac:dyDescent="0.3">
      <c r="F38" s="41"/>
      <c r="G38" s="9"/>
      <c r="H38" s="10">
        <f t="shared" si="0"/>
        <v>0</v>
      </c>
    </row>
    <row r="39" spans="2:9" x14ac:dyDescent="0.3">
      <c r="B39" t="s">
        <v>104</v>
      </c>
      <c r="E39" s="47">
        <f>VLOOKUP($A$4,zone_lu,5)</f>
        <v>0.15</v>
      </c>
      <c r="F39" s="41"/>
      <c r="G39" s="9"/>
      <c r="H39" s="10">
        <f>ROUND(H37*E39,0)</f>
        <v>5627</v>
      </c>
      <c r="I39" s="10">
        <f>ROUND(I37*F39,0)</f>
        <v>0</v>
      </c>
    </row>
    <row r="40" spans="2:9" x14ac:dyDescent="0.3">
      <c r="E40" s="47"/>
      <c r="F40" s="41"/>
      <c r="G40" s="9"/>
      <c r="H40" s="10"/>
      <c r="I40" s="10"/>
    </row>
    <row r="41" spans="2:9" x14ac:dyDescent="0.3">
      <c r="B41" t="s">
        <v>103</v>
      </c>
      <c r="E41" s="47">
        <f>VLOOKUP($A$4,zone_lu,6)</f>
        <v>0.1</v>
      </c>
      <c r="F41" s="41"/>
      <c r="G41" s="9"/>
      <c r="H41" s="10">
        <f>ROUND(SUM(H37:H40)*E41,0)</f>
        <v>4314</v>
      </c>
      <c r="I41" s="10"/>
    </row>
    <row r="42" spans="2:9" x14ac:dyDescent="0.3">
      <c r="E42" s="47"/>
      <c r="F42" s="41"/>
      <c r="G42" s="9"/>
      <c r="H42" s="10"/>
      <c r="I42" s="10"/>
    </row>
    <row r="43" spans="2:9" x14ac:dyDescent="0.3">
      <c r="B43" t="s">
        <v>127</v>
      </c>
      <c r="E43" s="47">
        <f>VLOOKUP($A$4,zone_lu,7)</f>
        <v>1.2500000000000001E-2</v>
      </c>
      <c r="F43" s="41"/>
      <c r="G43" s="9"/>
      <c r="H43" s="10">
        <f>ROUND(SUM(H37:H42)*E43,0)</f>
        <v>593</v>
      </c>
      <c r="I43" s="10"/>
    </row>
    <row r="44" spans="2:9" x14ac:dyDescent="0.3">
      <c r="E44" s="47"/>
      <c r="F44" s="41"/>
      <c r="G44" s="9"/>
      <c r="H44" s="10"/>
      <c r="I44" s="10"/>
    </row>
    <row r="45" spans="2:9" x14ac:dyDescent="0.3">
      <c r="B45" t="s">
        <v>105</v>
      </c>
      <c r="E45" s="47">
        <f>VLOOKUP($A$4,zone_lu,8)</f>
        <v>0</v>
      </c>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48045.614241759999</v>
      </c>
    </row>
    <row r="49" ht="15" thickTop="1" x14ac:dyDescent="0.3"/>
  </sheetData>
  <mergeCells count="1">
    <mergeCell ref="A4:C4"/>
  </mergeCell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0">
    <tabColor theme="7"/>
  </sheetPr>
  <dimension ref="A1:O49"/>
  <sheetViews>
    <sheetView showGridLines="0" topLeftCell="A7"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Pre-1978</v>
      </c>
    </row>
    <row r="2" spans="1:15" x14ac:dyDescent="0.3">
      <c r="A2" t="s">
        <v>69</v>
      </c>
    </row>
    <row r="3" spans="1:15" x14ac:dyDescent="0.3">
      <c r="A3" t="s">
        <v>70</v>
      </c>
    </row>
    <row r="4" spans="1:15" ht="14.4" customHeight="1" x14ac:dyDescent="0.3">
      <c r="A4" s="88">
        <v>6</v>
      </c>
      <c r="B4" s="88"/>
      <c r="C4" s="88"/>
    </row>
    <row r="6" spans="1:15" x14ac:dyDescent="0.3">
      <c r="B6" t="s">
        <v>50</v>
      </c>
      <c r="F6" s="41"/>
      <c r="G6" s="9"/>
      <c r="H6" s="8"/>
    </row>
    <row r="7" spans="1:15" x14ac:dyDescent="0.3">
      <c r="C7" t="s">
        <v>120</v>
      </c>
      <c r="F7" s="41"/>
      <c r="G7" s="9"/>
      <c r="H7" s="8"/>
    </row>
    <row r="8" spans="1:15" x14ac:dyDescent="0.3">
      <c r="D8" t="s">
        <v>54</v>
      </c>
      <c r="E8">
        <v>8</v>
      </c>
      <c r="F8" s="41" t="s">
        <v>58</v>
      </c>
      <c r="G8" s="9">
        <f>VLOOKUP($A$4,zone_lu,4)</f>
        <v>58.866228829999997</v>
      </c>
      <c r="H8" s="10">
        <f>E8*G8</f>
        <v>470.92983063999998</v>
      </c>
    </row>
    <row r="9" spans="1:15" x14ac:dyDescent="0.3">
      <c r="D9" t="s">
        <v>59</v>
      </c>
      <c r="E9">
        <v>1</v>
      </c>
      <c r="F9" s="41" t="s">
        <v>60</v>
      </c>
      <c r="G9" s="9">
        <v>500</v>
      </c>
      <c r="H9" s="10">
        <f t="shared" ref="H9:H38" si="0">E9*G9</f>
        <v>500</v>
      </c>
    </row>
    <row r="10" spans="1:15" x14ac:dyDescent="0.3">
      <c r="E10" s="11"/>
      <c r="F10" s="42"/>
      <c r="G10" s="12"/>
      <c r="H10" s="13">
        <f>SUBTOTAL(9,H6:H9)</f>
        <v>970.92983063999998</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39" t="s">
        <v>117</v>
      </c>
    </row>
    <row r="14" spans="1:15" x14ac:dyDescent="0.3">
      <c r="D14" t="s">
        <v>61</v>
      </c>
      <c r="F14" s="41"/>
      <c r="G14" s="28"/>
      <c r="H14" s="10"/>
    </row>
    <row r="15" spans="1:15" x14ac:dyDescent="0.3">
      <c r="D15" s="22" t="s">
        <v>73</v>
      </c>
      <c r="F15" s="41"/>
      <c r="G15" s="10"/>
      <c r="H15" s="10"/>
    </row>
    <row r="16" spans="1:15" x14ac:dyDescent="0.3">
      <c r="D16" t="s">
        <v>64</v>
      </c>
      <c r="F16" s="41"/>
      <c r="G16" s="10"/>
      <c r="H16" s="10"/>
    </row>
    <row r="17" spans="3:8" x14ac:dyDescent="0.3">
      <c r="D17" t="s">
        <v>54</v>
      </c>
      <c r="F17" s="41"/>
      <c r="G17" s="10"/>
      <c r="H17" s="10"/>
    </row>
    <row r="18" spans="3:8" x14ac:dyDescent="0.3">
      <c r="C18" t="s">
        <v>52</v>
      </c>
      <c r="F18" s="41"/>
      <c r="G18" s="9"/>
      <c r="H18" s="10">
        <f t="shared" ref="H18:H31" si="1">E18*G18</f>
        <v>0</v>
      </c>
    </row>
    <row r="19" spans="3:8" x14ac:dyDescent="0.3">
      <c r="D19" t="s">
        <v>66</v>
      </c>
      <c r="E19">
        <v>8</v>
      </c>
      <c r="F19" s="41" t="s">
        <v>62</v>
      </c>
      <c r="G19" s="29">
        <v>1500</v>
      </c>
      <c r="H19" s="10">
        <f t="shared" si="1"/>
        <v>12000</v>
      </c>
    </row>
    <row r="20" spans="3:8" ht="28.8" x14ac:dyDescent="0.3">
      <c r="D20" s="24" t="s">
        <v>89</v>
      </c>
      <c r="E20" s="1"/>
      <c r="F20" s="41"/>
      <c r="G20" s="9"/>
      <c r="H20" s="10">
        <f t="shared" si="1"/>
        <v>0</v>
      </c>
    </row>
    <row r="21" spans="3:8" x14ac:dyDescent="0.3">
      <c r="D21" s="15" t="s">
        <v>68</v>
      </c>
      <c r="F21" s="41"/>
      <c r="G21" s="9"/>
      <c r="H21" s="39" t="s">
        <v>112</v>
      </c>
    </row>
    <row r="22" spans="3:8" x14ac:dyDescent="0.3">
      <c r="D22" s="15" t="s">
        <v>114</v>
      </c>
      <c r="F22" s="41"/>
      <c r="G22" s="9"/>
      <c r="H22" s="39" t="s">
        <v>112</v>
      </c>
    </row>
    <row r="23" spans="3:8" x14ac:dyDescent="0.3">
      <c r="D23" t="s">
        <v>64</v>
      </c>
      <c r="E23">
        <v>8</v>
      </c>
      <c r="F23" s="41" t="s">
        <v>60</v>
      </c>
      <c r="G23" s="9">
        <v>400</v>
      </c>
      <c r="H23" s="10">
        <f t="shared" si="1"/>
        <v>3200</v>
      </c>
    </row>
    <row r="24" spans="3:8" x14ac:dyDescent="0.3">
      <c r="D24" t="s">
        <v>54</v>
      </c>
      <c r="E24">
        <f>8*24</f>
        <v>192</v>
      </c>
      <c r="F24" s="41" t="s">
        <v>58</v>
      </c>
      <c r="G24" s="9">
        <f>VLOOKUP($A$4,zone_lu,4)</f>
        <v>58.866228829999997</v>
      </c>
      <c r="H24" s="10">
        <f t="shared" si="1"/>
        <v>11302.315935359999</v>
      </c>
    </row>
    <row r="25" spans="3:8" x14ac:dyDescent="0.3">
      <c r="C25" t="s">
        <v>106</v>
      </c>
      <c r="F25" s="41"/>
      <c r="G25" s="9"/>
      <c r="H25" s="10"/>
    </row>
    <row r="26" spans="3:8" x14ac:dyDescent="0.3">
      <c r="D26" t="s">
        <v>111</v>
      </c>
      <c r="E26">
        <v>8</v>
      </c>
      <c r="F26" s="41" t="s">
        <v>62</v>
      </c>
      <c r="G26" s="9">
        <v>200</v>
      </c>
      <c r="H26" s="10">
        <f t="shared" si="1"/>
        <v>1600</v>
      </c>
    </row>
    <row r="27" spans="3:8" x14ac:dyDescent="0.3">
      <c r="C27" t="s">
        <v>128</v>
      </c>
      <c r="F27" s="41"/>
      <c r="G27" s="9"/>
      <c r="H27" s="10"/>
    </row>
    <row r="28" spans="3:8" x14ac:dyDescent="0.3">
      <c r="D28" t="s">
        <v>129</v>
      </c>
      <c r="E28">
        <v>8</v>
      </c>
      <c r="F28" s="41" t="s">
        <v>62</v>
      </c>
      <c r="G28" s="9">
        <v>125</v>
      </c>
      <c r="H28" s="10">
        <f t="shared" si="1"/>
        <v>1000</v>
      </c>
    </row>
    <row r="29" spans="3:8" x14ac:dyDescent="0.3">
      <c r="D29" t="s">
        <v>130</v>
      </c>
      <c r="E29">
        <v>1</v>
      </c>
      <c r="F29" s="41" t="s">
        <v>62</v>
      </c>
      <c r="G29" s="9">
        <v>800</v>
      </c>
      <c r="H29" s="10">
        <f t="shared" si="1"/>
        <v>800</v>
      </c>
    </row>
    <row r="30" spans="3:8" x14ac:dyDescent="0.3">
      <c r="D30" t="s">
        <v>131</v>
      </c>
      <c r="F30" s="41"/>
      <c r="G30" s="9"/>
      <c r="H30" s="39" t="s">
        <v>112</v>
      </c>
    </row>
    <row r="31" spans="3:8" x14ac:dyDescent="0.3">
      <c r="D31" t="s">
        <v>54</v>
      </c>
      <c r="E31">
        <v>72</v>
      </c>
      <c r="F31" s="41" t="s">
        <v>58</v>
      </c>
      <c r="G31" s="9">
        <f>VLOOKUP($A$4,zone_lu,4)</f>
        <v>58.866228829999997</v>
      </c>
      <c r="H31" s="10">
        <f t="shared" si="1"/>
        <v>4238.3684757599995</v>
      </c>
    </row>
    <row r="32" spans="3:8" x14ac:dyDescent="0.3">
      <c r="C32" s="23" t="s">
        <v>107</v>
      </c>
      <c r="F32" s="41"/>
      <c r="G32" s="9"/>
      <c r="H32" s="37"/>
    </row>
    <row r="33" spans="2:9" x14ac:dyDescent="0.3">
      <c r="D33" t="s">
        <v>64</v>
      </c>
      <c r="F33" s="41"/>
      <c r="G33" s="9"/>
      <c r="H33" s="39" t="s">
        <v>112</v>
      </c>
    </row>
    <row r="34" spans="2:9" x14ac:dyDescent="0.3">
      <c r="D34" t="s">
        <v>54</v>
      </c>
      <c r="F34" s="41"/>
      <c r="G34" s="9"/>
      <c r="H34" s="39" t="s">
        <v>112</v>
      </c>
    </row>
    <row r="35" spans="2:9" x14ac:dyDescent="0.3">
      <c r="E35" s="11"/>
      <c r="F35" s="42"/>
      <c r="G35" s="12"/>
      <c r="H35" s="13">
        <f>SUBTOTAL(9,H12:H34)</f>
        <v>34140.684411119997</v>
      </c>
    </row>
    <row r="36" spans="2:9" x14ac:dyDescent="0.3">
      <c r="E36" s="16"/>
      <c r="F36" s="43"/>
      <c r="G36" s="17"/>
      <c r="H36" s="18"/>
    </row>
    <row r="37" spans="2:9" x14ac:dyDescent="0.3">
      <c r="B37" s="11"/>
      <c r="C37" s="11" t="s">
        <v>71</v>
      </c>
      <c r="D37" s="11"/>
      <c r="E37" s="11"/>
      <c r="F37" s="42"/>
      <c r="G37" s="12"/>
      <c r="H37" s="13">
        <f>SUBTOTAL(9,H6:H36)</f>
        <v>35111.614241759999</v>
      </c>
    </row>
    <row r="38" spans="2:9" x14ac:dyDescent="0.3">
      <c r="F38" s="41"/>
      <c r="G38" s="9"/>
      <c r="H38" s="10">
        <f t="shared" si="0"/>
        <v>0</v>
      </c>
    </row>
    <row r="39" spans="2:9" x14ac:dyDescent="0.3">
      <c r="B39" t="s">
        <v>104</v>
      </c>
      <c r="E39" s="47">
        <f>VLOOKUP($A$4,zone_lu,5)</f>
        <v>0.15</v>
      </c>
      <c r="F39" s="41"/>
      <c r="G39" s="9"/>
      <c r="H39" s="10">
        <f>ROUND(H37*E39,0)</f>
        <v>5267</v>
      </c>
      <c r="I39" s="10">
        <f>ROUND(I37*F39,0)</f>
        <v>0</v>
      </c>
    </row>
    <row r="40" spans="2:9" x14ac:dyDescent="0.3">
      <c r="E40" s="47"/>
      <c r="F40" s="41"/>
      <c r="G40" s="9"/>
      <c r="H40" s="10"/>
      <c r="I40" s="10"/>
    </row>
    <row r="41" spans="2:9" x14ac:dyDescent="0.3">
      <c r="B41" t="s">
        <v>103</v>
      </c>
      <c r="E41" s="47">
        <f>VLOOKUP($A$4,zone_lu,6)</f>
        <v>0.1</v>
      </c>
      <c r="F41" s="41"/>
      <c r="G41" s="9"/>
      <c r="H41" s="10">
        <f>ROUND(SUM(H37:H40)*E41,0)</f>
        <v>4038</v>
      </c>
      <c r="I41" s="10"/>
    </row>
    <row r="42" spans="2:9" x14ac:dyDescent="0.3">
      <c r="E42" s="47"/>
      <c r="F42" s="41"/>
      <c r="G42" s="9"/>
      <c r="H42" s="10"/>
      <c r="I42" s="10"/>
    </row>
    <row r="43" spans="2:9" x14ac:dyDescent="0.3">
      <c r="B43" t="s">
        <v>127</v>
      </c>
      <c r="E43" s="47">
        <f>VLOOKUP($A$4,zone_lu,7)</f>
        <v>1.2500000000000001E-2</v>
      </c>
      <c r="F43" s="41"/>
      <c r="G43" s="9"/>
      <c r="H43" s="10">
        <f>ROUND(SUM(H37:H42)*E43,0)</f>
        <v>555</v>
      </c>
      <c r="I43" s="10"/>
    </row>
    <row r="44" spans="2:9" x14ac:dyDescent="0.3">
      <c r="E44" s="47"/>
      <c r="F44" s="41"/>
      <c r="G44" s="9"/>
      <c r="H44" s="10"/>
      <c r="I44" s="10"/>
    </row>
    <row r="45" spans="2:9" x14ac:dyDescent="0.3">
      <c r="B45" t="s">
        <v>105</v>
      </c>
      <c r="E45" s="47">
        <f>VLOOKUP($A$4,zone_lu,8)</f>
        <v>0</v>
      </c>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44971.614241759999</v>
      </c>
    </row>
    <row r="49" ht="15" thickTop="1" x14ac:dyDescent="0.3"/>
  </sheetData>
  <mergeCells count="1">
    <mergeCell ref="A4:C4"/>
  </mergeCell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4">
    <tabColor theme="7"/>
  </sheetPr>
  <dimension ref="A1:O49"/>
  <sheetViews>
    <sheetView showGridLines="0" topLeftCell="A7"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Pre-1978</v>
      </c>
    </row>
    <row r="2" spans="1:15" x14ac:dyDescent="0.3">
      <c r="A2" t="s">
        <v>69</v>
      </c>
    </row>
    <row r="3" spans="1:15" x14ac:dyDescent="0.3">
      <c r="A3" t="s">
        <v>70</v>
      </c>
    </row>
    <row r="4" spans="1:15" ht="14.4" customHeight="1" x14ac:dyDescent="0.3">
      <c r="A4" s="88">
        <v>9</v>
      </c>
      <c r="B4" s="88"/>
      <c r="C4" s="88"/>
    </row>
    <row r="6" spans="1:15" x14ac:dyDescent="0.3">
      <c r="B6" t="s">
        <v>50</v>
      </c>
      <c r="F6" s="41"/>
      <c r="G6" s="9"/>
      <c r="H6" s="8"/>
    </row>
    <row r="7" spans="1:15" x14ac:dyDescent="0.3">
      <c r="C7" t="s">
        <v>120</v>
      </c>
      <c r="F7" s="41"/>
      <c r="G7" s="9"/>
      <c r="H7" s="8"/>
    </row>
    <row r="8" spans="1:15" x14ac:dyDescent="0.3">
      <c r="D8" t="s">
        <v>54</v>
      </c>
      <c r="E8">
        <v>8</v>
      </c>
      <c r="F8" s="41" t="s">
        <v>58</v>
      </c>
      <c r="G8" s="9">
        <f>VLOOKUP($A$4,zone_lu,4)</f>
        <v>58.866228829999997</v>
      </c>
      <c r="H8" s="10">
        <f>E8*G8</f>
        <v>470.92983063999998</v>
      </c>
    </row>
    <row r="9" spans="1:15" x14ac:dyDescent="0.3">
      <c r="D9" t="s">
        <v>59</v>
      </c>
      <c r="E9">
        <v>1</v>
      </c>
      <c r="F9" s="41" t="s">
        <v>60</v>
      </c>
      <c r="G9" s="9">
        <v>500</v>
      </c>
      <c r="H9" s="10">
        <f t="shared" ref="H9:H38" si="0">E9*G9</f>
        <v>500</v>
      </c>
    </row>
    <row r="10" spans="1:15" x14ac:dyDescent="0.3">
      <c r="E10" s="11"/>
      <c r="F10" s="42"/>
      <c r="G10" s="12"/>
      <c r="H10" s="13">
        <f>SUBTOTAL(9,H6:H9)</f>
        <v>970.92983063999998</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39" t="s">
        <v>117</v>
      </c>
    </row>
    <row r="14" spans="1:15" x14ac:dyDescent="0.3">
      <c r="D14" t="s">
        <v>61</v>
      </c>
      <c r="F14" s="41"/>
      <c r="G14" s="28"/>
      <c r="H14" s="10"/>
    </row>
    <row r="15" spans="1:15" x14ac:dyDescent="0.3">
      <c r="D15" s="22" t="s">
        <v>73</v>
      </c>
      <c r="F15" s="41"/>
      <c r="G15" s="10"/>
      <c r="H15" s="10"/>
    </row>
    <row r="16" spans="1:15" x14ac:dyDescent="0.3">
      <c r="D16" t="s">
        <v>64</v>
      </c>
      <c r="F16" s="41"/>
      <c r="G16" s="10"/>
      <c r="H16" s="10"/>
    </row>
    <row r="17" spans="3:8" x14ac:dyDescent="0.3">
      <c r="D17" t="s">
        <v>54</v>
      </c>
      <c r="F17" s="41"/>
      <c r="G17" s="10"/>
      <c r="H17" s="10"/>
    </row>
    <row r="18" spans="3:8" x14ac:dyDescent="0.3">
      <c r="C18" t="s">
        <v>52</v>
      </c>
      <c r="F18" s="41"/>
      <c r="G18" s="9"/>
      <c r="H18" s="10">
        <f t="shared" ref="H18:H31" si="1">E18*G18</f>
        <v>0</v>
      </c>
    </row>
    <row r="19" spans="3:8" x14ac:dyDescent="0.3">
      <c r="D19" t="s">
        <v>66</v>
      </c>
      <c r="E19">
        <v>8</v>
      </c>
      <c r="F19" s="41" t="s">
        <v>62</v>
      </c>
      <c r="G19" s="29">
        <v>1800</v>
      </c>
      <c r="H19" s="10">
        <f t="shared" si="1"/>
        <v>14400</v>
      </c>
    </row>
    <row r="20" spans="3:8" ht="28.8" x14ac:dyDescent="0.3">
      <c r="D20" s="24" t="s">
        <v>92</v>
      </c>
      <c r="E20" s="1"/>
      <c r="F20" s="41"/>
      <c r="G20" s="9"/>
      <c r="H20" s="10">
        <f t="shared" si="1"/>
        <v>0</v>
      </c>
    </row>
    <row r="21" spans="3:8" x14ac:dyDescent="0.3">
      <c r="D21" s="15" t="s">
        <v>68</v>
      </c>
      <c r="F21" s="41"/>
      <c r="G21" s="9"/>
      <c r="H21" s="39" t="s">
        <v>112</v>
      </c>
    </row>
    <row r="22" spans="3:8" x14ac:dyDescent="0.3">
      <c r="D22" s="15" t="s">
        <v>114</v>
      </c>
      <c r="F22" s="41"/>
      <c r="G22" s="9"/>
      <c r="H22" s="39" t="s">
        <v>112</v>
      </c>
    </row>
    <row r="23" spans="3:8" x14ac:dyDescent="0.3">
      <c r="D23" t="s">
        <v>64</v>
      </c>
      <c r="E23">
        <v>8</v>
      </c>
      <c r="F23" s="41" t="s">
        <v>60</v>
      </c>
      <c r="G23" s="9">
        <v>400</v>
      </c>
      <c r="H23" s="10">
        <f t="shared" si="1"/>
        <v>3200</v>
      </c>
    </row>
    <row r="24" spans="3:8" x14ac:dyDescent="0.3">
      <c r="D24" t="s">
        <v>54</v>
      </c>
      <c r="E24">
        <f>8*24</f>
        <v>192</v>
      </c>
      <c r="F24" s="41" t="s">
        <v>58</v>
      </c>
      <c r="G24" s="9">
        <f>VLOOKUP($A$4,zone_lu,4)</f>
        <v>58.866228829999997</v>
      </c>
      <c r="H24" s="10">
        <f t="shared" si="1"/>
        <v>11302.315935359999</v>
      </c>
    </row>
    <row r="25" spans="3:8" x14ac:dyDescent="0.3">
      <c r="C25" t="s">
        <v>106</v>
      </c>
      <c r="F25" s="41"/>
      <c r="G25" s="9"/>
      <c r="H25" s="10"/>
    </row>
    <row r="26" spans="3:8" x14ac:dyDescent="0.3">
      <c r="D26" t="s">
        <v>111</v>
      </c>
      <c r="E26">
        <v>8</v>
      </c>
      <c r="F26" s="41" t="s">
        <v>62</v>
      </c>
      <c r="G26" s="9">
        <v>200</v>
      </c>
      <c r="H26" s="10">
        <f t="shared" si="1"/>
        <v>1600</v>
      </c>
    </row>
    <row r="27" spans="3:8" x14ac:dyDescent="0.3">
      <c r="C27" t="s">
        <v>128</v>
      </c>
      <c r="F27" s="41"/>
      <c r="G27" s="9"/>
      <c r="H27" s="10"/>
    </row>
    <row r="28" spans="3:8" x14ac:dyDescent="0.3">
      <c r="D28" t="s">
        <v>129</v>
      </c>
      <c r="E28">
        <v>8</v>
      </c>
      <c r="F28" s="41" t="s">
        <v>62</v>
      </c>
      <c r="G28" s="9">
        <v>125</v>
      </c>
      <c r="H28" s="10">
        <f t="shared" si="1"/>
        <v>1000</v>
      </c>
    </row>
    <row r="29" spans="3:8" x14ac:dyDescent="0.3">
      <c r="D29" t="s">
        <v>130</v>
      </c>
      <c r="E29">
        <v>1</v>
      </c>
      <c r="F29" s="41" t="s">
        <v>62</v>
      </c>
      <c r="G29" s="9">
        <v>800</v>
      </c>
      <c r="H29" s="10">
        <f t="shared" si="1"/>
        <v>800</v>
      </c>
    </row>
    <row r="30" spans="3:8" x14ac:dyDescent="0.3">
      <c r="D30" t="s">
        <v>131</v>
      </c>
      <c r="F30" s="41"/>
      <c r="G30" s="9"/>
      <c r="H30" s="39" t="s">
        <v>112</v>
      </c>
    </row>
    <row r="31" spans="3:8" x14ac:dyDescent="0.3">
      <c r="D31" t="s">
        <v>54</v>
      </c>
      <c r="E31">
        <v>72</v>
      </c>
      <c r="F31" s="41" t="s">
        <v>58</v>
      </c>
      <c r="G31" s="9">
        <f>VLOOKUP($A$4,zone_lu,4)</f>
        <v>58.866228829999997</v>
      </c>
      <c r="H31" s="10">
        <f t="shared" si="1"/>
        <v>4238.3684757599995</v>
      </c>
    </row>
    <row r="32" spans="3:8" x14ac:dyDescent="0.3">
      <c r="C32" t="s">
        <v>107</v>
      </c>
      <c r="F32" s="41"/>
      <c r="G32" s="9"/>
      <c r="H32" s="37"/>
    </row>
    <row r="33" spans="2:9" x14ac:dyDescent="0.3">
      <c r="D33" t="s">
        <v>64</v>
      </c>
      <c r="F33" s="41"/>
      <c r="G33" s="9"/>
      <c r="H33" s="39" t="s">
        <v>112</v>
      </c>
    </row>
    <row r="34" spans="2:9" x14ac:dyDescent="0.3">
      <c r="D34" t="s">
        <v>54</v>
      </c>
      <c r="F34" s="41"/>
      <c r="G34" s="9"/>
      <c r="H34" s="39" t="s">
        <v>112</v>
      </c>
    </row>
    <row r="35" spans="2:9" x14ac:dyDescent="0.3">
      <c r="E35" s="11"/>
      <c r="F35" s="42"/>
      <c r="G35" s="12"/>
      <c r="H35" s="13">
        <f>SUBTOTAL(9,H12:H34)</f>
        <v>36540.684411119997</v>
      </c>
    </row>
    <row r="36" spans="2:9" x14ac:dyDescent="0.3">
      <c r="E36" s="16"/>
      <c r="F36" s="43"/>
      <c r="G36" s="17"/>
      <c r="H36" s="18"/>
    </row>
    <row r="37" spans="2:9" x14ac:dyDescent="0.3">
      <c r="B37" s="11"/>
      <c r="C37" s="11" t="s">
        <v>71</v>
      </c>
      <c r="D37" s="11"/>
      <c r="E37" s="11"/>
      <c r="F37" s="42"/>
      <c r="G37" s="12"/>
      <c r="H37" s="13">
        <f>SUBTOTAL(9,H6:H36)</f>
        <v>37511.614241759999</v>
      </c>
    </row>
    <row r="38" spans="2:9" x14ac:dyDescent="0.3">
      <c r="F38" s="41"/>
      <c r="G38" s="9"/>
      <c r="H38" s="10">
        <f t="shared" si="0"/>
        <v>0</v>
      </c>
    </row>
    <row r="39" spans="2:9" x14ac:dyDescent="0.3">
      <c r="B39" t="s">
        <v>104</v>
      </c>
      <c r="E39" s="47">
        <f>VLOOKUP($A$4,zone_lu,5)</f>
        <v>0.15</v>
      </c>
      <c r="F39" s="41"/>
      <c r="G39" s="9"/>
      <c r="H39" s="10">
        <f>ROUND(H37*E39,0)</f>
        <v>5627</v>
      </c>
      <c r="I39" s="10">
        <f>ROUND(I37*F39,0)</f>
        <v>0</v>
      </c>
    </row>
    <row r="40" spans="2:9" x14ac:dyDescent="0.3">
      <c r="E40" s="47"/>
      <c r="F40" s="41"/>
      <c r="G40" s="9"/>
      <c r="H40" s="10"/>
      <c r="I40" s="10"/>
    </row>
    <row r="41" spans="2:9" x14ac:dyDescent="0.3">
      <c r="B41" t="s">
        <v>103</v>
      </c>
      <c r="E41" s="47">
        <f>VLOOKUP($A$4,zone_lu,6)</f>
        <v>0.1</v>
      </c>
      <c r="F41" s="41"/>
      <c r="G41" s="9"/>
      <c r="H41" s="10">
        <f>ROUND(SUM(H37:H40)*E41,0)</f>
        <v>4314</v>
      </c>
      <c r="I41" s="10"/>
    </row>
    <row r="42" spans="2:9" x14ac:dyDescent="0.3">
      <c r="E42" s="47"/>
      <c r="F42" s="41"/>
      <c r="G42" s="9"/>
      <c r="H42" s="10"/>
      <c r="I42" s="10"/>
    </row>
    <row r="43" spans="2:9" x14ac:dyDescent="0.3">
      <c r="B43" t="s">
        <v>127</v>
      </c>
      <c r="E43" s="47">
        <f>VLOOKUP($A$4,zone_lu,7)</f>
        <v>1.2500000000000001E-2</v>
      </c>
      <c r="F43" s="41"/>
      <c r="G43" s="9"/>
      <c r="H43" s="10">
        <f>ROUND(SUM(H37:H42)*E43,0)</f>
        <v>593</v>
      </c>
      <c r="I43" s="10"/>
    </row>
    <row r="44" spans="2:9" x14ac:dyDescent="0.3">
      <c r="E44" s="47"/>
      <c r="F44" s="41"/>
      <c r="G44" s="9"/>
      <c r="H44" s="10"/>
      <c r="I44" s="10"/>
    </row>
    <row r="45" spans="2:9" x14ac:dyDescent="0.3">
      <c r="B45" t="s">
        <v>105</v>
      </c>
      <c r="E45" s="47">
        <f>VLOOKUP($A$4,zone_lu,8)</f>
        <v>0</v>
      </c>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48045.614241759999</v>
      </c>
    </row>
    <row r="49" ht="15" thickTop="1" x14ac:dyDescent="0.3"/>
  </sheetData>
  <mergeCells count="1">
    <mergeCell ref="A4:C4"/>
  </mergeCell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6"/>
  <dimension ref="A1:O49"/>
  <sheetViews>
    <sheetView showGridLines="0" topLeftCell="A7"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Pre-1978</v>
      </c>
    </row>
    <row r="2" spans="1:15" x14ac:dyDescent="0.3">
      <c r="A2" t="s">
        <v>69</v>
      </c>
    </row>
    <row r="3" spans="1:15" x14ac:dyDescent="0.3">
      <c r="A3" t="s">
        <v>70</v>
      </c>
    </row>
    <row r="4" spans="1:15" ht="14.4" customHeight="1" x14ac:dyDescent="0.3">
      <c r="A4" s="88">
        <v>10</v>
      </c>
      <c r="B4" s="88"/>
      <c r="C4" s="88"/>
    </row>
    <row r="6" spans="1:15" x14ac:dyDescent="0.3">
      <c r="B6" t="s">
        <v>50</v>
      </c>
      <c r="F6" s="41"/>
      <c r="G6" s="9"/>
      <c r="H6" s="8"/>
    </row>
    <row r="7" spans="1:15" x14ac:dyDescent="0.3">
      <c r="C7" t="s">
        <v>120</v>
      </c>
      <c r="F7" s="41"/>
      <c r="G7" s="9"/>
      <c r="H7" s="8"/>
    </row>
    <row r="8" spans="1:15" x14ac:dyDescent="0.3">
      <c r="D8" t="s">
        <v>54</v>
      </c>
      <c r="E8">
        <v>8</v>
      </c>
      <c r="F8" s="41" t="s">
        <v>58</v>
      </c>
      <c r="G8" s="9">
        <f>VLOOKUP($A$4,zone_lu,4)</f>
        <v>58.866228829999997</v>
      </c>
      <c r="H8" s="10">
        <f>E8*G8</f>
        <v>470.92983063999998</v>
      </c>
    </row>
    <row r="9" spans="1:15" x14ac:dyDescent="0.3">
      <c r="D9" t="s">
        <v>59</v>
      </c>
      <c r="E9">
        <v>1</v>
      </c>
      <c r="F9" s="41" t="s">
        <v>60</v>
      </c>
      <c r="G9" s="9">
        <v>500</v>
      </c>
      <c r="H9" s="10">
        <f t="shared" ref="H9:H38" si="0">E9*G9</f>
        <v>500</v>
      </c>
    </row>
    <row r="10" spans="1:15" x14ac:dyDescent="0.3">
      <c r="E10" s="11"/>
      <c r="F10" s="42"/>
      <c r="G10" s="12"/>
      <c r="H10" s="13">
        <f>SUBTOTAL(9,H6:H9)</f>
        <v>970.92983063999998</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39" t="s">
        <v>117</v>
      </c>
    </row>
    <row r="14" spans="1:15" x14ac:dyDescent="0.3">
      <c r="D14" t="s">
        <v>61</v>
      </c>
      <c r="F14" s="41"/>
      <c r="G14" s="28"/>
      <c r="H14" s="10"/>
    </row>
    <row r="15" spans="1:15" x14ac:dyDescent="0.3">
      <c r="D15" s="22" t="s">
        <v>73</v>
      </c>
      <c r="F15" s="41"/>
      <c r="G15" s="10"/>
      <c r="H15" s="10"/>
    </row>
    <row r="16" spans="1:15" x14ac:dyDescent="0.3">
      <c r="D16" t="s">
        <v>64</v>
      </c>
      <c r="F16" s="41"/>
      <c r="G16" s="10"/>
      <c r="H16" s="10"/>
    </row>
    <row r="17" spans="3:8" x14ac:dyDescent="0.3">
      <c r="D17" t="s">
        <v>54</v>
      </c>
      <c r="F17" s="41"/>
      <c r="G17" s="10"/>
      <c r="H17" s="10"/>
    </row>
    <row r="18" spans="3:8" x14ac:dyDescent="0.3">
      <c r="C18" t="s">
        <v>52</v>
      </c>
      <c r="F18" s="41"/>
      <c r="G18" s="9"/>
      <c r="H18" s="10">
        <f t="shared" ref="H18:H31" si="1">E18*G18</f>
        <v>0</v>
      </c>
    </row>
    <row r="19" spans="3:8" x14ac:dyDescent="0.3">
      <c r="D19" t="s">
        <v>66</v>
      </c>
      <c r="E19">
        <v>8</v>
      </c>
      <c r="F19" s="41" t="s">
        <v>62</v>
      </c>
      <c r="G19" s="29">
        <v>2200</v>
      </c>
      <c r="H19" s="10">
        <f t="shared" si="1"/>
        <v>17600</v>
      </c>
    </row>
    <row r="20" spans="3:8" ht="28.2" customHeight="1" x14ac:dyDescent="0.3">
      <c r="D20" s="24" t="s">
        <v>94</v>
      </c>
      <c r="E20" s="1"/>
      <c r="F20" s="41"/>
      <c r="G20" s="9"/>
      <c r="H20" s="10">
        <f t="shared" si="1"/>
        <v>0</v>
      </c>
    </row>
    <row r="21" spans="3:8" x14ac:dyDescent="0.3">
      <c r="D21" s="15" t="s">
        <v>68</v>
      </c>
      <c r="F21" s="41"/>
      <c r="G21" s="9"/>
      <c r="H21" s="39" t="s">
        <v>112</v>
      </c>
    </row>
    <row r="22" spans="3:8" x14ac:dyDescent="0.3">
      <c r="D22" s="15" t="s">
        <v>114</v>
      </c>
      <c r="F22" s="41"/>
      <c r="G22" s="9"/>
      <c r="H22" s="39" t="s">
        <v>112</v>
      </c>
    </row>
    <row r="23" spans="3:8" x14ac:dyDescent="0.3">
      <c r="D23" t="s">
        <v>64</v>
      </c>
      <c r="E23">
        <v>8</v>
      </c>
      <c r="F23" s="41" t="s">
        <v>60</v>
      </c>
      <c r="G23" s="9">
        <v>400</v>
      </c>
      <c r="H23" s="10">
        <f t="shared" si="1"/>
        <v>3200</v>
      </c>
    </row>
    <row r="24" spans="3:8" x14ac:dyDescent="0.3">
      <c r="D24" t="s">
        <v>54</v>
      </c>
      <c r="E24">
        <f>8*24</f>
        <v>192</v>
      </c>
      <c r="F24" s="41" t="s">
        <v>58</v>
      </c>
      <c r="G24" s="9">
        <f>VLOOKUP($A$4,zone_lu,4)</f>
        <v>58.866228829999997</v>
      </c>
      <c r="H24" s="10">
        <f t="shared" si="1"/>
        <v>11302.315935359999</v>
      </c>
    </row>
    <row r="25" spans="3:8" x14ac:dyDescent="0.3">
      <c r="C25" t="s">
        <v>106</v>
      </c>
      <c r="F25" s="41"/>
      <c r="G25" s="9"/>
      <c r="H25" s="10"/>
    </row>
    <row r="26" spans="3:8" x14ac:dyDescent="0.3">
      <c r="D26" t="s">
        <v>111</v>
      </c>
      <c r="E26">
        <v>8</v>
      </c>
      <c r="F26" s="41" t="s">
        <v>62</v>
      </c>
      <c r="G26" s="9">
        <v>200</v>
      </c>
      <c r="H26" s="10">
        <f t="shared" si="1"/>
        <v>1600</v>
      </c>
    </row>
    <row r="27" spans="3:8" x14ac:dyDescent="0.3">
      <c r="C27" t="s">
        <v>128</v>
      </c>
      <c r="F27" s="41"/>
      <c r="G27" s="9"/>
      <c r="H27" s="10"/>
    </row>
    <row r="28" spans="3:8" x14ac:dyDescent="0.3">
      <c r="D28" t="s">
        <v>129</v>
      </c>
      <c r="E28">
        <v>8</v>
      </c>
      <c r="F28" s="41" t="s">
        <v>62</v>
      </c>
      <c r="G28" s="9">
        <v>125</v>
      </c>
      <c r="H28" s="10">
        <f t="shared" si="1"/>
        <v>1000</v>
      </c>
    </row>
    <row r="29" spans="3:8" x14ac:dyDescent="0.3">
      <c r="D29" t="s">
        <v>130</v>
      </c>
      <c r="E29">
        <v>1</v>
      </c>
      <c r="F29" s="41" t="s">
        <v>62</v>
      </c>
      <c r="G29" s="9">
        <v>800</v>
      </c>
      <c r="H29" s="10">
        <f t="shared" si="1"/>
        <v>800</v>
      </c>
    </row>
    <row r="30" spans="3:8" x14ac:dyDescent="0.3">
      <c r="D30" t="s">
        <v>131</v>
      </c>
      <c r="F30" s="41"/>
      <c r="G30" s="9"/>
      <c r="H30" s="39" t="s">
        <v>112</v>
      </c>
    </row>
    <row r="31" spans="3:8" x14ac:dyDescent="0.3">
      <c r="D31" t="s">
        <v>54</v>
      </c>
      <c r="E31">
        <v>72</v>
      </c>
      <c r="F31" s="41" t="s">
        <v>58</v>
      </c>
      <c r="G31" s="9">
        <f>VLOOKUP($A$4,zone_lu,4)</f>
        <v>58.866228829999997</v>
      </c>
      <c r="H31" s="10">
        <f t="shared" si="1"/>
        <v>4238.3684757599995</v>
      </c>
    </row>
    <row r="32" spans="3:8" x14ac:dyDescent="0.3">
      <c r="C32" t="s">
        <v>107</v>
      </c>
      <c r="F32" s="41"/>
      <c r="G32" s="9"/>
      <c r="H32" s="37"/>
    </row>
    <row r="33" spans="2:9" x14ac:dyDescent="0.3">
      <c r="D33" t="s">
        <v>64</v>
      </c>
      <c r="F33" s="41"/>
      <c r="G33" s="9"/>
      <c r="H33" s="39" t="s">
        <v>112</v>
      </c>
    </row>
    <row r="34" spans="2:9" x14ac:dyDescent="0.3">
      <c r="D34" t="s">
        <v>54</v>
      </c>
      <c r="F34" s="41"/>
      <c r="G34" s="9"/>
      <c r="H34" s="39" t="s">
        <v>112</v>
      </c>
    </row>
    <row r="35" spans="2:9" x14ac:dyDescent="0.3">
      <c r="E35" s="11"/>
      <c r="F35" s="42"/>
      <c r="G35" s="12"/>
      <c r="H35" s="13">
        <f>SUBTOTAL(9,H12:H34)</f>
        <v>39740.684411119997</v>
      </c>
    </row>
    <row r="36" spans="2:9" x14ac:dyDescent="0.3">
      <c r="E36" s="16"/>
      <c r="F36" s="43"/>
      <c r="G36" s="17"/>
      <c r="H36" s="18"/>
    </row>
    <row r="37" spans="2:9" x14ac:dyDescent="0.3">
      <c r="B37" s="11"/>
      <c r="C37" s="11" t="s">
        <v>71</v>
      </c>
      <c r="D37" s="11"/>
      <c r="E37" s="11"/>
      <c r="F37" s="42"/>
      <c r="G37" s="12"/>
      <c r="H37" s="13">
        <f>SUBTOTAL(9,H6:H36)</f>
        <v>40711.614241759999</v>
      </c>
    </row>
    <row r="38" spans="2:9" x14ac:dyDescent="0.3">
      <c r="F38" s="41"/>
      <c r="G38" s="9"/>
      <c r="H38" s="10">
        <f t="shared" si="0"/>
        <v>0</v>
      </c>
    </row>
    <row r="39" spans="2:9" x14ac:dyDescent="0.3">
      <c r="B39" t="s">
        <v>104</v>
      </c>
      <c r="E39" s="47">
        <f>VLOOKUP($A$4,zone_lu,5)</f>
        <v>0.15</v>
      </c>
      <c r="F39" s="41"/>
      <c r="G39" s="9"/>
      <c r="H39" s="10">
        <f>ROUND(H37*E39,0)</f>
        <v>6107</v>
      </c>
      <c r="I39" s="10">
        <f>ROUND(I37*F39,0)</f>
        <v>0</v>
      </c>
    </row>
    <row r="40" spans="2:9" x14ac:dyDescent="0.3">
      <c r="E40" s="47"/>
      <c r="F40" s="41"/>
      <c r="G40" s="9"/>
      <c r="H40" s="10"/>
      <c r="I40" s="10"/>
    </row>
    <row r="41" spans="2:9" x14ac:dyDescent="0.3">
      <c r="B41" t="s">
        <v>103</v>
      </c>
      <c r="E41" s="47">
        <f>VLOOKUP($A$4,zone_lu,6)</f>
        <v>0.1</v>
      </c>
      <c r="F41" s="41"/>
      <c r="G41" s="9"/>
      <c r="H41" s="10">
        <f>ROUND(SUM(H37:H40)*E41,0)</f>
        <v>4682</v>
      </c>
      <c r="I41" s="10"/>
    </row>
    <row r="42" spans="2:9" x14ac:dyDescent="0.3">
      <c r="E42" s="47"/>
      <c r="F42" s="41"/>
      <c r="G42" s="9"/>
      <c r="H42" s="10"/>
      <c r="I42" s="10"/>
    </row>
    <row r="43" spans="2:9" x14ac:dyDescent="0.3">
      <c r="B43" t="s">
        <v>127</v>
      </c>
      <c r="E43" s="47">
        <f>VLOOKUP($A$4,zone_lu,7)</f>
        <v>1.2500000000000001E-2</v>
      </c>
      <c r="F43" s="41"/>
      <c r="G43" s="9"/>
      <c r="H43" s="10">
        <f>ROUND(SUM(H37:H42)*E43,0)</f>
        <v>644</v>
      </c>
      <c r="I43" s="10"/>
    </row>
    <row r="44" spans="2:9" x14ac:dyDescent="0.3">
      <c r="E44" s="47"/>
      <c r="F44" s="41"/>
      <c r="G44" s="9"/>
      <c r="H44" s="10"/>
      <c r="I44" s="10"/>
    </row>
    <row r="45" spans="2:9" x14ac:dyDescent="0.3">
      <c r="B45" t="s">
        <v>105</v>
      </c>
      <c r="E45" s="47">
        <f>VLOOKUP($A$4,zone_lu,8)</f>
        <v>0</v>
      </c>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52144.614241759999</v>
      </c>
    </row>
    <row r="49" ht="15" thickTop="1" x14ac:dyDescent="0.3"/>
  </sheetData>
  <mergeCells count="1">
    <mergeCell ref="A4:C4"/>
  </mergeCell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38"/>
  <dimension ref="A1:O49"/>
  <sheetViews>
    <sheetView showGridLines="0" topLeftCell="A7"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F1" s="41"/>
      <c r="G1" s="9"/>
      <c r="H1" s="8"/>
      <c r="O1" t="str">
        <f>A1&amp;": "&amp;A2</f>
        <v>Low Rise Multi-Family: Pre-1978</v>
      </c>
    </row>
    <row r="2" spans="1:15" x14ac:dyDescent="0.3">
      <c r="A2" t="s">
        <v>69</v>
      </c>
    </row>
    <row r="3" spans="1:15" x14ac:dyDescent="0.3">
      <c r="A3" t="s">
        <v>70</v>
      </c>
    </row>
    <row r="4" spans="1:15" ht="14.4" customHeight="1" x14ac:dyDescent="0.3">
      <c r="A4" s="88">
        <v>12</v>
      </c>
      <c r="B4" s="88"/>
      <c r="C4" s="88"/>
    </row>
    <row r="6" spans="1:15" x14ac:dyDescent="0.3">
      <c r="B6" t="s">
        <v>50</v>
      </c>
      <c r="F6" s="41"/>
      <c r="G6" s="9"/>
      <c r="H6" s="8"/>
    </row>
    <row r="7" spans="1:15" x14ac:dyDescent="0.3">
      <c r="C7" t="s">
        <v>120</v>
      </c>
      <c r="F7" s="41"/>
      <c r="G7" s="9"/>
      <c r="H7" s="8"/>
    </row>
    <row r="8" spans="1:15" x14ac:dyDescent="0.3">
      <c r="D8" t="s">
        <v>54</v>
      </c>
      <c r="E8">
        <v>8</v>
      </c>
      <c r="F8" s="41" t="s">
        <v>58</v>
      </c>
      <c r="G8" s="9">
        <f>VLOOKUP($A$4,zone_lu,4)</f>
        <v>58.866228829999997</v>
      </c>
      <c r="H8" s="10">
        <f>E8*G8</f>
        <v>470.92983063999998</v>
      </c>
    </row>
    <row r="9" spans="1:15" x14ac:dyDescent="0.3">
      <c r="D9" t="s">
        <v>59</v>
      </c>
      <c r="E9">
        <v>1</v>
      </c>
      <c r="F9" s="41" t="s">
        <v>60</v>
      </c>
      <c r="G9" s="9">
        <v>500</v>
      </c>
      <c r="H9" s="10">
        <f t="shared" ref="H9:H38" si="0">E9*G9</f>
        <v>500</v>
      </c>
    </row>
    <row r="10" spans="1:15" x14ac:dyDescent="0.3">
      <c r="E10" s="11"/>
      <c r="F10" s="42"/>
      <c r="G10" s="12"/>
      <c r="H10" s="13">
        <f>SUBTOTAL(9,H6:H9)</f>
        <v>970.92983063999998</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39" t="s">
        <v>117</v>
      </c>
    </row>
    <row r="14" spans="1:15" x14ac:dyDescent="0.3">
      <c r="D14" t="s">
        <v>61</v>
      </c>
      <c r="F14" s="41"/>
      <c r="G14" s="28"/>
      <c r="H14" s="10"/>
    </row>
    <row r="15" spans="1:15" x14ac:dyDescent="0.3">
      <c r="D15" s="22" t="s">
        <v>73</v>
      </c>
      <c r="F15" s="41"/>
      <c r="G15" s="10"/>
      <c r="H15" s="10"/>
    </row>
    <row r="16" spans="1:15" x14ac:dyDescent="0.3">
      <c r="D16" t="s">
        <v>64</v>
      </c>
      <c r="F16" s="41"/>
      <c r="G16" s="10"/>
      <c r="H16" s="10"/>
    </row>
    <row r="17" spans="3:8" x14ac:dyDescent="0.3">
      <c r="D17" t="s">
        <v>54</v>
      </c>
      <c r="F17" s="41"/>
      <c r="G17" s="10"/>
      <c r="H17" s="10"/>
    </row>
    <row r="18" spans="3:8" x14ac:dyDescent="0.3">
      <c r="C18" t="s">
        <v>52</v>
      </c>
      <c r="F18" s="41"/>
      <c r="G18" s="9"/>
      <c r="H18" s="10">
        <f t="shared" ref="H18:H31" si="1">E18*G18</f>
        <v>0</v>
      </c>
    </row>
    <row r="19" spans="3:8" x14ac:dyDescent="0.3">
      <c r="D19" t="s">
        <v>66</v>
      </c>
      <c r="E19">
        <v>8</v>
      </c>
      <c r="F19" s="41" t="s">
        <v>62</v>
      </c>
      <c r="G19" s="29">
        <v>2200</v>
      </c>
      <c r="H19" s="10">
        <f t="shared" si="1"/>
        <v>17600</v>
      </c>
    </row>
    <row r="20" spans="3:8" ht="29.4" customHeight="1" x14ac:dyDescent="0.3">
      <c r="D20" s="24" t="s">
        <v>94</v>
      </c>
      <c r="E20" s="1"/>
      <c r="F20" s="41"/>
      <c r="G20" s="9"/>
      <c r="H20" s="10">
        <f t="shared" si="1"/>
        <v>0</v>
      </c>
    </row>
    <row r="21" spans="3:8" x14ac:dyDescent="0.3">
      <c r="D21" s="15" t="s">
        <v>68</v>
      </c>
      <c r="F21" s="41"/>
      <c r="G21" s="9"/>
      <c r="H21" s="39" t="s">
        <v>112</v>
      </c>
    </row>
    <row r="22" spans="3:8" x14ac:dyDescent="0.3">
      <c r="D22" s="15" t="s">
        <v>114</v>
      </c>
      <c r="F22" s="41"/>
      <c r="G22" s="9"/>
      <c r="H22" s="39" t="s">
        <v>112</v>
      </c>
    </row>
    <row r="23" spans="3:8" x14ac:dyDescent="0.3">
      <c r="D23" t="s">
        <v>64</v>
      </c>
      <c r="E23">
        <v>8</v>
      </c>
      <c r="F23" s="41" t="s">
        <v>60</v>
      </c>
      <c r="G23" s="9">
        <v>400</v>
      </c>
      <c r="H23" s="10">
        <f t="shared" si="1"/>
        <v>3200</v>
      </c>
    </row>
    <row r="24" spans="3:8" x14ac:dyDescent="0.3">
      <c r="D24" t="s">
        <v>54</v>
      </c>
      <c r="E24">
        <f>8*24</f>
        <v>192</v>
      </c>
      <c r="F24" s="41" t="s">
        <v>58</v>
      </c>
      <c r="G24" s="9">
        <f>VLOOKUP($A$4,zone_lu,4)</f>
        <v>58.866228829999997</v>
      </c>
      <c r="H24" s="10">
        <f t="shared" si="1"/>
        <v>11302.315935359999</v>
      </c>
    </row>
    <row r="25" spans="3:8" x14ac:dyDescent="0.3">
      <c r="C25" t="s">
        <v>106</v>
      </c>
      <c r="F25" s="41"/>
      <c r="G25" s="9"/>
      <c r="H25" s="10"/>
    </row>
    <row r="26" spans="3:8" x14ac:dyDescent="0.3">
      <c r="D26" t="s">
        <v>111</v>
      </c>
      <c r="E26">
        <v>8</v>
      </c>
      <c r="F26" s="41" t="s">
        <v>62</v>
      </c>
      <c r="G26" s="9">
        <v>200</v>
      </c>
      <c r="H26" s="10">
        <f t="shared" si="1"/>
        <v>1600</v>
      </c>
    </row>
    <row r="27" spans="3:8" x14ac:dyDescent="0.3">
      <c r="C27" t="s">
        <v>128</v>
      </c>
      <c r="F27" s="41"/>
      <c r="G27" s="9"/>
      <c r="H27" s="10"/>
    </row>
    <row r="28" spans="3:8" x14ac:dyDescent="0.3">
      <c r="D28" t="s">
        <v>129</v>
      </c>
      <c r="E28">
        <v>8</v>
      </c>
      <c r="F28" s="41" t="s">
        <v>62</v>
      </c>
      <c r="G28" s="9">
        <v>125</v>
      </c>
      <c r="H28" s="10">
        <f t="shared" si="1"/>
        <v>1000</v>
      </c>
    </row>
    <row r="29" spans="3:8" x14ac:dyDescent="0.3">
      <c r="D29" t="s">
        <v>130</v>
      </c>
      <c r="E29">
        <v>1</v>
      </c>
      <c r="F29" s="41" t="s">
        <v>62</v>
      </c>
      <c r="G29" s="9">
        <v>800</v>
      </c>
      <c r="H29" s="10">
        <f t="shared" si="1"/>
        <v>800</v>
      </c>
    </row>
    <row r="30" spans="3:8" x14ac:dyDescent="0.3">
      <c r="D30" t="s">
        <v>131</v>
      </c>
      <c r="F30" s="41"/>
      <c r="G30" s="9"/>
      <c r="H30" s="39" t="s">
        <v>112</v>
      </c>
    </row>
    <row r="31" spans="3:8" x14ac:dyDescent="0.3">
      <c r="D31" t="s">
        <v>54</v>
      </c>
      <c r="E31">
        <v>72</v>
      </c>
      <c r="F31" s="41" t="s">
        <v>58</v>
      </c>
      <c r="G31" s="9">
        <f>VLOOKUP($A$4,zone_lu,4)</f>
        <v>58.866228829999997</v>
      </c>
      <c r="H31" s="10">
        <f t="shared" si="1"/>
        <v>4238.3684757599995</v>
      </c>
    </row>
    <row r="32" spans="3:8" x14ac:dyDescent="0.3">
      <c r="C32" t="s">
        <v>107</v>
      </c>
      <c r="F32" s="41"/>
      <c r="G32" s="9"/>
      <c r="H32" s="37"/>
    </row>
    <row r="33" spans="2:9" x14ac:dyDescent="0.3">
      <c r="D33" t="s">
        <v>64</v>
      </c>
      <c r="F33" s="41"/>
      <c r="G33" s="9"/>
      <c r="H33" s="39" t="s">
        <v>112</v>
      </c>
    </row>
    <row r="34" spans="2:9" x14ac:dyDescent="0.3">
      <c r="D34" t="s">
        <v>54</v>
      </c>
      <c r="F34" s="41"/>
      <c r="G34" s="9"/>
      <c r="H34" s="39" t="s">
        <v>112</v>
      </c>
    </row>
    <row r="35" spans="2:9" x14ac:dyDescent="0.3">
      <c r="E35" s="11"/>
      <c r="F35" s="42"/>
      <c r="G35" s="12"/>
      <c r="H35" s="13">
        <f>SUBTOTAL(9,H12:H34)</f>
        <v>39740.684411119997</v>
      </c>
    </row>
    <row r="36" spans="2:9" x14ac:dyDescent="0.3">
      <c r="E36" s="16"/>
      <c r="F36" s="43"/>
      <c r="G36" s="17"/>
      <c r="H36" s="18"/>
    </row>
    <row r="37" spans="2:9" x14ac:dyDescent="0.3">
      <c r="B37" s="11"/>
      <c r="C37" s="11" t="s">
        <v>71</v>
      </c>
      <c r="D37" s="11"/>
      <c r="E37" s="11"/>
      <c r="F37" s="42"/>
      <c r="G37" s="12"/>
      <c r="H37" s="13">
        <f>SUBTOTAL(9,H6:H36)</f>
        <v>40711.614241759999</v>
      </c>
    </row>
    <row r="38" spans="2:9" x14ac:dyDescent="0.3">
      <c r="F38" s="41"/>
      <c r="G38" s="9"/>
      <c r="H38" s="10">
        <f t="shared" si="0"/>
        <v>0</v>
      </c>
    </row>
    <row r="39" spans="2:9" x14ac:dyDescent="0.3">
      <c r="B39" t="s">
        <v>104</v>
      </c>
      <c r="E39" s="47">
        <f>VLOOKUP($A$4,zone_lu,5)</f>
        <v>0.15</v>
      </c>
      <c r="F39" s="41"/>
      <c r="G39" s="9"/>
      <c r="H39" s="10">
        <f>ROUND(H37*E39,0)</f>
        <v>6107</v>
      </c>
      <c r="I39" s="10">
        <f>ROUND(I37*F39,0)</f>
        <v>0</v>
      </c>
    </row>
    <row r="40" spans="2:9" x14ac:dyDescent="0.3">
      <c r="E40" s="47"/>
      <c r="F40" s="41"/>
      <c r="G40" s="9"/>
      <c r="H40" s="10"/>
      <c r="I40" s="10"/>
    </row>
    <row r="41" spans="2:9" x14ac:dyDescent="0.3">
      <c r="B41" t="s">
        <v>103</v>
      </c>
      <c r="E41" s="47">
        <f>VLOOKUP($A$4,zone_lu,6)</f>
        <v>0.1</v>
      </c>
      <c r="F41" s="41"/>
      <c r="G41" s="9"/>
      <c r="H41" s="10">
        <f>ROUND(SUM(H37:H40)*E41,0)</f>
        <v>4682</v>
      </c>
      <c r="I41" s="10"/>
    </row>
    <row r="42" spans="2:9" x14ac:dyDescent="0.3">
      <c r="E42" s="47"/>
      <c r="F42" s="41"/>
      <c r="G42" s="9"/>
      <c r="H42" s="10"/>
      <c r="I42" s="10"/>
    </row>
    <row r="43" spans="2:9" x14ac:dyDescent="0.3">
      <c r="B43" t="s">
        <v>127</v>
      </c>
      <c r="E43" s="47">
        <f>VLOOKUP($A$4,zone_lu,7)</f>
        <v>1.2500000000000001E-2</v>
      </c>
      <c r="F43" s="41"/>
      <c r="G43" s="9"/>
      <c r="H43" s="10">
        <f>ROUND(SUM(H37:H42)*E43,0)</f>
        <v>644</v>
      </c>
      <c r="I43" s="10"/>
    </row>
    <row r="44" spans="2:9" x14ac:dyDescent="0.3">
      <c r="E44" s="47"/>
      <c r="F44" s="41"/>
      <c r="G44" s="9"/>
      <c r="H44" s="10"/>
      <c r="I44" s="10"/>
    </row>
    <row r="45" spans="2:9" x14ac:dyDescent="0.3">
      <c r="B45" t="s">
        <v>105</v>
      </c>
      <c r="E45" s="47">
        <f>VLOOKUP($A$4,zone_lu,8)</f>
        <v>0</v>
      </c>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52144.614241759999</v>
      </c>
    </row>
    <row r="49" ht="15" thickTop="1" x14ac:dyDescent="0.3"/>
  </sheetData>
  <mergeCells count="1">
    <mergeCell ref="A4:C4"/>
  </mergeCell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74">
    <tabColor rgb="FFFF0000"/>
  </sheetPr>
  <dimension ref="A1:O44"/>
  <sheetViews>
    <sheetView showGridLines="0" topLeftCell="A2"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New Construction</v>
      </c>
    </row>
    <row r="2" spans="1:15" x14ac:dyDescent="0.3">
      <c r="A2" t="s">
        <v>0</v>
      </c>
    </row>
    <row r="3" spans="1:15" x14ac:dyDescent="0.3">
      <c r="A3" t="s">
        <v>49</v>
      </c>
    </row>
    <row r="4" spans="1:15" ht="14.4" customHeight="1" x14ac:dyDescent="0.3">
      <c r="A4" s="88" t="s">
        <v>56</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75">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New Construction</v>
      </c>
    </row>
    <row r="2" spans="1:15" x14ac:dyDescent="0.3">
      <c r="A2" t="s">
        <v>0</v>
      </c>
    </row>
    <row r="3" spans="1:15" x14ac:dyDescent="0.3">
      <c r="A3" t="s">
        <v>70</v>
      </c>
    </row>
    <row r="4" spans="1:15" ht="14.4" customHeight="1" x14ac:dyDescent="0.3">
      <c r="A4" s="88" t="s">
        <v>56</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76">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New Construction</v>
      </c>
    </row>
    <row r="2" spans="1:15" x14ac:dyDescent="0.3">
      <c r="A2" t="s">
        <v>0</v>
      </c>
    </row>
    <row r="3" spans="1:15" x14ac:dyDescent="0.3">
      <c r="A3" t="s">
        <v>49</v>
      </c>
    </row>
    <row r="4" spans="1:15" ht="14.4" customHeight="1" x14ac:dyDescent="0.3">
      <c r="A4" s="88" t="s">
        <v>57</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O49"/>
  <sheetViews>
    <sheetView showGridLines="0" zoomScale="90" zoomScaleNormal="90" workbookViewId="0">
      <selection activeCell="K40" sqref="K40"/>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O1" t="str">
        <f>A1&amp;": "&amp;A2</f>
        <v>Low Rise Multi-Family: New Construction</v>
      </c>
    </row>
    <row r="2" spans="1:15" x14ac:dyDescent="0.3">
      <c r="A2" t="s">
        <v>0</v>
      </c>
    </row>
    <row r="3" spans="1:15" x14ac:dyDescent="0.3">
      <c r="A3" t="s">
        <v>49</v>
      </c>
      <c r="F3" s="41"/>
      <c r="G3" s="9"/>
      <c r="H3" s="8"/>
    </row>
    <row r="4" spans="1:15" ht="14.4" customHeight="1" x14ac:dyDescent="0.3">
      <c r="A4" s="88">
        <v>4</v>
      </c>
      <c r="B4" s="88"/>
      <c r="C4" s="88"/>
    </row>
    <row r="6" spans="1:15" x14ac:dyDescent="0.3">
      <c r="B6" t="s">
        <v>50</v>
      </c>
      <c r="F6" s="41"/>
      <c r="G6" s="9"/>
      <c r="H6" s="8"/>
    </row>
    <row r="7" spans="1:15" x14ac:dyDescent="0.3">
      <c r="C7" t="s">
        <v>120</v>
      </c>
      <c r="F7" s="41"/>
      <c r="G7" s="9"/>
      <c r="H7" s="38" t="s">
        <v>112</v>
      </c>
    </row>
    <row r="8" spans="1:15" x14ac:dyDescent="0.3">
      <c r="D8" t="s">
        <v>54</v>
      </c>
      <c r="F8" s="41"/>
      <c r="G8" s="9"/>
      <c r="H8" s="10"/>
    </row>
    <row r="9" spans="1:15" x14ac:dyDescent="0.3">
      <c r="D9" t="s">
        <v>59</v>
      </c>
      <c r="F9" s="41"/>
      <c r="G9" s="9"/>
      <c r="H9" s="10"/>
    </row>
    <row r="10" spans="1:15" x14ac:dyDescent="0.3">
      <c r="E10" s="11"/>
      <c r="F10" s="42"/>
      <c r="G10" s="12"/>
      <c r="H10" s="13">
        <f>SUBTOTAL(9,H6:H9)</f>
        <v>0</v>
      </c>
    </row>
    <row r="11" spans="1:15" x14ac:dyDescent="0.3">
      <c r="F11" s="41"/>
      <c r="G11" s="9"/>
      <c r="H11" s="10">
        <f t="shared" ref="H11:H38" si="0">E11*G11</f>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8</v>
      </c>
      <c r="F14" s="41" t="s">
        <v>62</v>
      </c>
      <c r="G14" s="29">
        <v>1200</v>
      </c>
      <c r="H14" s="10">
        <f t="shared" si="0"/>
        <v>9600</v>
      </c>
    </row>
    <row r="15" spans="1:15" x14ac:dyDescent="0.3">
      <c r="D15" s="22" t="s">
        <v>78</v>
      </c>
      <c r="F15" s="41"/>
      <c r="G15" s="9"/>
      <c r="H15" s="10">
        <f t="shared" si="0"/>
        <v>0</v>
      </c>
    </row>
    <row r="16" spans="1:15" x14ac:dyDescent="0.3">
      <c r="D16" t="s">
        <v>64</v>
      </c>
      <c r="E16">
        <v>8</v>
      </c>
      <c r="F16" s="41" t="s">
        <v>60</v>
      </c>
      <c r="G16" s="9">
        <v>250</v>
      </c>
      <c r="H16" s="10">
        <f t="shared" si="0"/>
        <v>2000</v>
      </c>
    </row>
    <row r="17" spans="3:8" x14ac:dyDescent="0.3">
      <c r="D17" t="s">
        <v>54</v>
      </c>
      <c r="E17">
        <f>6*16</f>
        <v>96</v>
      </c>
      <c r="F17" s="41" t="s">
        <v>58</v>
      </c>
      <c r="G17" s="9">
        <f>VLOOKUP($A$4,zone_lu,4)</f>
        <v>58.866228829999997</v>
      </c>
      <c r="H17" s="10">
        <f t="shared" si="0"/>
        <v>5651.1579676799993</v>
      </c>
    </row>
    <row r="18" spans="3:8" x14ac:dyDescent="0.3">
      <c r="C18" t="s">
        <v>52</v>
      </c>
      <c r="F18" s="41"/>
      <c r="G18" s="9"/>
      <c r="H18" s="10">
        <f t="shared" si="0"/>
        <v>0</v>
      </c>
    </row>
    <row r="19" spans="3:8" x14ac:dyDescent="0.3">
      <c r="D19" t="s">
        <v>66</v>
      </c>
      <c r="E19">
        <v>8</v>
      </c>
      <c r="F19" s="41" t="s">
        <v>62</v>
      </c>
      <c r="G19" s="29">
        <v>3500</v>
      </c>
      <c r="H19" s="10">
        <f t="shared" si="0"/>
        <v>28000</v>
      </c>
    </row>
    <row r="20" spans="3:8" x14ac:dyDescent="0.3">
      <c r="D20" s="22" t="s">
        <v>65</v>
      </c>
      <c r="F20" s="41"/>
      <c r="G20" s="9"/>
      <c r="H20" s="10">
        <f t="shared" si="0"/>
        <v>0</v>
      </c>
    </row>
    <row r="21" spans="3:8" x14ac:dyDescent="0.3">
      <c r="D21" s="15" t="s">
        <v>68</v>
      </c>
      <c r="E21">
        <v>8</v>
      </c>
      <c r="F21" s="41" t="s">
        <v>62</v>
      </c>
      <c r="G21" s="9">
        <v>100</v>
      </c>
      <c r="H21" s="10">
        <f t="shared" si="0"/>
        <v>800</v>
      </c>
    </row>
    <row r="22" spans="3:8" x14ac:dyDescent="0.3">
      <c r="D22" s="15" t="s">
        <v>114</v>
      </c>
      <c r="E22">
        <v>800</v>
      </c>
      <c r="F22" s="41" t="s">
        <v>67</v>
      </c>
      <c r="G22" s="9">
        <v>4</v>
      </c>
      <c r="H22" s="10">
        <f t="shared" si="0"/>
        <v>3200</v>
      </c>
    </row>
    <row r="23" spans="3:8" x14ac:dyDescent="0.3">
      <c r="D23" t="s">
        <v>64</v>
      </c>
      <c r="E23">
        <v>8</v>
      </c>
      <c r="F23" s="41" t="s">
        <v>60</v>
      </c>
      <c r="G23" s="9">
        <v>400</v>
      </c>
      <c r="H23" s="10">
        <f t="shared" si="0"/>
        <v>3200</v>
      </c>
    </row>
    <row r="24" spans="3:8" x14ac:dyDescent="0.3">
      <c r="D24" t="s">
        <v>54</v>
      </c>
      <c r="E24">
        <v>96</v>
      </c>
      <c r="F24" s="41" t="s">
        <v>58</v>
      </c>
      <c r="G24" s="9">
        <f>VLOOKUP($A$4,zone_lu,4)</f>
        <v>58.866228829999997</v>
      </c>
      <c r="H24" s="10">
        <f t="shared" si="0"/>
        <v>5651.1579676799993</v>
      </c>
    </row>
    <row r="25" spans="3:8" x14ac:dyDescent="0.3">
      <c r="C25" t="s">
        <v>106</v>
      </c>
      <c r="F25" s="41"/>
      <c r="G25" s="9"/>
      <c r="H25" s="10"/>
    </row>
    <row r="26" spans="3:8" x14ac:dyDescent="0.3">
      <c r="D26" t="s">
        <v>111</v>
      </c>
      <c r="E26">
        <v>8</v>
      </c>
      <c r="F26" s="41" t="s">
        <v>62</v>
      </c>
      <c r="G26" s="9">
        <v>400</v>
      </c>
      <c r="H26" s="10">
        <f t="shared" si="0"/>
        <v>3200</v>
      </c>
    </row>
    <row r="27" spans="3:8" x14ac:dyDescent="0.3">
      <c r="C27" t="s">
        <v>128</v>
      </c>
      <c r="F27" s="41"/>
      <c r="G27" s="9"/>
      <c r="H27" s="10"/>
    </row>
    <row r="28" spans="3:8" x14ac:dyDescent="0.3">
      <c r="D28" t="s">
        <v>129</v>
      </c>
      <c r="E28">
        <v>16</v>
      </c>
      <c r="F28" s="41" t="s">
        <v>62</v>
      </c>
      <c r="G28" s="56">
        <v>75</v>
      </c>
      <c r="H28" s="10">
        <f t="shared" si="0"/>
        <v>1200</v>
      </c>
    </row>
    <row r="29" spans="3:8" x14ac:dyDescent="0.3">
      <c r="D29" t="s">
        <v>130</v>
      </c>
      <c r="F29" s="41" t="s">
        <v>62</v>
      </c>
      <c r="G29" s="9"/>
      <c r="H29" s="38" t="s">
        <v>112</v>
      </c>
    </row>
    <row r="30" spans="3:8" x14ac:dyDescent="0.3">
      <c r="D30" t="s">
        <v>131</v>
      </c>
      <c r="E30">
        <v>240</v>
      </c>
      <c r="F30" s="41" t="s">
        <v>67</v>
      </c>
      <c r="G30" s="9">
        <v>3</v>
      </c>
      <c r="H30" s="10">
        <f t="shared" si="0"/>
        <v>720</v>
      </c>
    </row>
    <row r="31" spans="3:8" x14ac:dyDescent="0.3">
      <c r="D31" t="s">
        <v>54</v>
      </c>
      <c r="E31">
        <v>96</v>
      </c>
      <c r="F31" s="41" t="s">
        <v>58</v>
      </c>
      <c r="G31" s="9">
        <f>VLOOKUP($A$4,zone_lu,4)</f>
        <v>58.866228829999997</v>
      </c>
      <c r="H31" s="10">
        <f t="shared" si="0"/>
        <v>5651.1579676799993</v>
      </c>
    </row>
    <row r="32" spans="3:8" x14ac:dyDescent="0.3">
      <c r="C32" t="s">
        <v>118</v>
      </c>
      <c r="F32" s="41"/>
      <c r="G32" s="9"/>
      <c r="H32" s="10">
        <f t="shared" si="0"/>
        <v>0</v>
      </c>
    </row>
    <row r="33" spans="2:9" x14ac:dyDescent="0.3">
      <c r="D33" t="s">
        <v>121</v>
      </c>
      <c r="F33" s="41"/>
      <c r="G33" s="9"/>
      <c r="H33" s="38" t="s">
        <v>132</v>
      </c>
    </row>
    <row r="34" spans="2:9" x14ac:dyDescent="0.3">
      <c r="D34" t="s">
        <v>54</v>
      </c>
      <c r="F34" s="41"/>
      <c r="G34" s="9"/>
      <c r="H34" s="38" t="s">
        <v>132</v>
      </c>
    </row>
    <row r="35" spans="2:9" x14ac:dyDescent="0.3">
      <c r="E35" s="11"/>
      <c r="F35" s="42"/>
      <c r="G35" s="12"/>
      <c r="H35" s="13">
        <f>SUBTOTAL(9,H12:H34)</f>
        <v>68873.473903040009</v>
      </c>
    </row>
    <row r="36" spans="2:9" x14ac:dyDescent="0.3">
      <c r="E36" s="16"/>
      <c r="F36" s="43"/>
      <c r="G36" s="17"/>
      <c r="H36" s="18"/>
    </row>
    <row r="37" spans="2:9" x14ac:dyDescent="0.3">
      <c r="B37" s="11"/>
      <c r="C37" s="11" t="s">
        <v>71</v>
      </c>
      <c r="D37" s="11"/>
      <c r="E37" s="11"/>
      <c r="F37" s="42"/>
      <c r="G37" s="12"/>
      <c r="H37" s="13">
        <f>SUBTOTAL(9,H6:H36)</f>
        <v>68873.473903040009</v>
      </c>
    </row>
    <row r="38" spans="2:9" x14ac:dyDescent="0.3">
      <c r="F38" s="41"/>
      <c r="G38" s="9"/>
      <c r="H38" s="10">
        <f t="shared" si="0"/>
        <v>0</v>
      </c>
    </row>
    <row r="39" spans="2:9" x14ac:dyDescent="0.3">
      <c r="B39" t="s">
        <v>104</v>
      </c>
      <c r="E39" s="49">
        <f>ROUND(VLOOKUP($A$4,zone_lu,5)*0.6,2)</f>
        <v>0.09</v>
      </c>
      <c r="F39" s="41"/>
      <c r="G39" s="9"/>
      <c r="H39" s="10">
        <f>ROUND(H37*E39,0)</f>
        <v>6199</v>
      </c>
      <c r="I39" s="10">
        <f>ROUND(I37*F39,0)</f>
        <v>0</v>
      </c>
    </row>
    <row r="40" spans="2:9" x14ac:dyDescent="0.3">
      <c r="E40" s="49"/>
      <c r="F40" s="41"/>
      <c r="G40" s="9"/>
      <c r="H40" s="10"/>
      <c r="I40" s="10"/>
    </row>
    <row r="41" spans="2:9" x14ac:dyDescent="0.3">
      <c r="B41" t="s">
        <v>103</v>
      </c>
      <c r="E41" s="49">
        <f>ROUND(VLOOKUP($A$4,zone_lu,6)*0.4,2)</f>
        <v>0.04</v>
      </c>
      <c r="F41" s="41"/>
      <c r="G41" s="9"/>
      <c r="H41" s="10">
        <f>ROUND(SUM(H37:H40)*E41,0)</f>
        <v>3003</v>
      </c>
      <c r="I41" s="10"/>
    </row>
    <row r="42" spans="2:9" x14ac:dyDescent="0.3">
      <c r="E42" s="49"/>
      <c r="F42" s="41"/>
      <c r="G42" s="9"/>
      <c r="H42" s="10"/>
      <c r="I42" s="10"/>
    </row>
    <row r="43" spans="2:9" x14ac:dyDescent="0.3">
      <c r="B43" t="s">
        <v>127</v>
      </c>
      <c r="E43" s="49">
        <f>VLOOKUP($A$4,zone_lu,7)</f>
        <v>1.2500000000000001E-2</v>
      </c>
      <c r="F43" s="41"/>
      <c r="G43" s="9"/>
      <c r="H43" s="10">
        <f>ROUND(SUM(H37:H42)*E43,0)</f>
        <v>976</v>
      </c>
      <c r="I43" s="10"/>
    </row>
    <row r="44" spans="2:9" x14ac:dyDescent="0.3">
      <c r="E44" s="49"/>
      <c r="F44" s="41"/>
      <c r="G44" s="9"/>
      <c r="H44" s="10"/>
      <c r="I44" s="10"/>
    </row>
    <row r="45" spans="2:9" x14ac:dyDescent="0.3">
      <c r="B45" t="s">
        <v>105</v>
      </c>
      <c r="E45" s="49"/>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79051.473903040009</v>
      </c>
    </row>
    <row r="49" ht="15" thickTop="1" x14ac:dyDescent="0.3"/>
  </sheetData>
  <mergeCells count="1">
    <mergeCell ref="A4:C4"/>
  </mergeCells>
  <pageMargins left="0.7" right="0.7" top="0.75" bottom="0.75" header="0.3" footer="0.3"/>
  <pageSetup orientation="portrait"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77">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New Construction</v>
      </c>
    </row>
    <row r="2" spans="1:15" x14ac:dyDescent="0.3">
      <c r="A2" t="s">
        <v>0</v>
      </c>
    </row>
    <row r="3" spans="1:15" x14ac:dyDescent="0.3">
      <c r="A3" t="s">
        <v>70</v>
      </c>
    </row>
    <row r="4" spans="1:15" ht="14.4" customHeight="1" x14ac:dyDescent="0.3">
      <c r="A4" s="88" t="s">
        <v>57</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87">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New Construction</v>
      </c>
    </row>
    <row r="2" spans="1:15" x14ac:dyDescent="0.3">
      <c r="A2" t="s">
        <v>0</v>
      </c>
    </row>
    <row r="3" spans="1:15" x14ac:dyDescent="0.3">
      <c r="A3" t="s">
        <v>49</v>
      </c>
    </row>
    <row r="4" spans="1:15" ht="14.4" customHeight="1" x14ac:dyDescent="0.3">
      <c r="A4" s="88" t="s">
        <v>57</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88">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New Construction</v>
      </c>
    </row>
    <row r="2" spans="1:15" x14ac:dyDescent="0.3">
      <c r="A2" t="s">
        <v>0</v>
      </c>
    </row>
    <row r="3" spans="1:15" x14ac:dyDescent="0.3">
      <c r="A3" t="s">
        <v>70</v>
      </c>
    </row>
    <row r="4" spans="1:15" ht="14.4" customHeight="1" x14ac:dyDescent="0.3">
      <c r="A4" s="88" t="s">
        <v>57</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89">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New Construction</v>
      </c>
    </row>
    <row r="2" spans="1:15" x14ac:dyDescent="0.3">
      <c r="A2" t="s">
        <v>0</v>
      </c>
    </row>
    <row r="3" spans="1:15" x14ac:dyDescent="0.3">
      <c r="A3" t="s">
        <v>49</v>
      </c>
    </row>
    <row r="4" spans="1:15" ht="14.4" customHeight="1" x14ac:dyDescent="0.3">
      <c r="A4" s="88" t="s">
        <v>57</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90">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New Construction</v>
      </c>
    </row>
    <row r="2" spans="1:15" x14ac:dyDescent="0.3">
      <c r="A2" t="s">
        <v>0</v>
      </c>
    </row>
    <row r="3" spans="1:15" x14ac:dyDescent="0.3">
      <c r="A3" t="s">
        <v>70</v>
      </c>
    </row>
    <row r="4" spans="1:15" ht="14.4" customHeight="1" x14ac:dyDescent="0.3">
      <c r="A4" s="88" t="s">
        <v>57</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91">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New Construction</v>
      </c>
    </row>
    <row r="2" spans="1:15" x14ac:dyDescent="0.3">
      <c r="A2" t="s">
        <v>0</v>
      </c>
    </row>
    <row r="3" spans="1:15" x14ac:dyDescent="0.3">
      <c r="A3" t="s">
        <v>49</v>
      </c>
    </row>
    <row r="4" spans="1:15" ht="14.4" customHeight="1" x14ac:dyDescent="0.3">
      <c r="A4" s="88" t="s">
        <v>57</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92">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New Construction</v>
      </c>
    </row>
    <row r="2" spans="1:15" x14ac:dyDescent="0.3">
      <c r="A2" t="s">
        <v>0</v>
      </c>
    </row>
    <row r="3" spans="1:15" x14ac:dyDescent="0.3">
      <c r="A3" t="s">
        <v>70</v>
      </c>
    </row>
    <row r="4" spans="1:15" ht="14.4" customHeight="1" x14ac:dyDescent="0.3">
      <c r="A4" s="88" t="s">
        <v>57</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93">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New Construction</v>
      </c>
    </row>
    <row r="2" spans="1:15" x14ac:dyDescent="0.3">
      <c r="A2" t="s">
        <v>0</v>
      </c>
    </row>
    <row r="3" spans="1:15" x14ac:dyDescent="0.3">
      <c r="A3" t="s">
        <v>49</v>
      </c>
    </row>
    <row r="4" spans="1:15" ht="14.4" customHeight="1" x14ac:dyDescent="0.3">
      <c r="A4" s="88" t="s">
        <v>57</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94">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New Construction</v>
      </c>
    </row>
    <row r="2" spans="1:15" x14ac:dyDescent="0.3">
      <c r="A2" t="s">
        <v>0</v>
      </c>
    </row>
    <row r="3" spans="1:15" x14ac:dyDescent="0.3">
      <c r="A3" t="s">
        <v>70</v>
      </c>
    </row>
    <row r="4" spans="1:15" ht="14.4" customHeight="1" x14ac:dyDescent="0.3">
      <c r="A4" s="88" t="s">
        <v>57</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78">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1990's</v>
      </c>
    </row>
    <row r="2" spans="1:15" x14ac:dyDescent="0.3">
      <c r="A2" t="s">
        <v>10</v>
      </c>
    </row>
    <row r="3" spans="1:15" x14ac:dyDescent="0.3">
      <c r="A3" t="s">
        <v>49</v>
      </c>
    </row>
    <row r="4" spans="1:15" ht="14.4" customHeight="1" x14ac:dyDescent="0.3">
      <c r="A4" s="88" t="s">
        <v>56</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O49"/>
  <sheetViews>
    <sheetView showGridLines="0"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O1" t="str">
        <f>A1&amp;": "&amp;A2</f>
        <v>Low Rise Multi-Family: New Construction</v>
      </c>
    </row>
    <row r="2" spans="1:15" x14ac:dyDescent="0.3">
      <c r="A2" t="s">
        <v>0</v>
      </c>
    </row>
    <row r="3" spans="1:15" x14ac:dyDescent="0.3">
      <c r="A3" t="s">
        <v>49</v>
      </c>
      <c r="F3" s="41"/>
      <c r="G3" s="9"/>
      <c r="H3" s="8"/>
    </row>
    <row r="4" spans="1:15" ht="14.4" customHeight="1" x14ac:dyDescent="0.3">
      <c r="A4" s="88">
        <v>6</v>
      </c>
      <c r="B4" s="88"/>
      <c r="C4" s="88"/>
    </row>
    <row r="6" spans="1:15" x14ac:dyDescent="0.3">
      <c r="B6" t="s">
        <v>50</v>
      </c>
      <c r="F6" s="41"/>
      <c r="G6" s="9"/>
      <c r="H6" s="8"/>
    </row>
    <row r="7" spans="1:15" x14ac:dyDescent="0.3">
      <c r="C7" t="s">
        <v>120</v>
      </c>
      <c r="F7" s="41"/>
      <c r="G7" s="9"/>
      <c r="H7" s="38" t="s">
        <v>112</v>
      </c>
    </row>
    <row r="8" spans="1:15" x14ac:dyDescent="0.3">
      <c r="D8" t="s">
        <v>54</v>
      </c>
      <c r="F8" s="41"/>
      <c r="G8" s="9"/>
      <c r="H8" s="10"/>
    </row>
    <row r="9" spans="1:15" x14ac:dyDescent="0.3">
      <c r="D9" t="s">
        <v>59</v>
      </c>
      <c r="F9" s="41"/>
      <c r="G9" s="9"/>
      <c r="H9" s="10"/>
    </row>
    <row r="10" spans="1:15" x14ac:dyDescent="0.3">
      <c r="E10" s="11"/>
      <c r="F10" s="42"/>
      <c r="G10" s="12"/>
      <c r="H10" s="13">
        <f>SUBTOTAL(9,H6:H9)</f>
        <v>0</v>
      </c>
    </row>
    <row r="11" spans="1:15" x14ac:dyDescent="0.3">
      <c r="F11" s="41"/>
      <c r="G11" s="9"/>
      <c r="H11" s="10">
        <f t="shared" ref="H11:H38" si="0">E11*G11</f>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8</v>
      </c>
      <c r="F14" s="41" t="s">
        <v>62</v>
      </c>
      <c r="G14" s="29">
        <v>1200</v>
      </c>
      <c r="H14" s="10">
        <f t="shared" si="0"/>
        <v>9600</v>
      </c>
    </row>
    <row r="15" spans="1:15" x14ac:dyDescent="0.3">
      <c r="D15" s="22" t="s">
        <v>79</v>
      </c>
      <c r="F15" s="41"/>
      <c r="G15" s="9"/>
      <c r="H15" s="10">
        <f t="shared" si="0"/>
        <v>0</v>
      </c>
    </row>
    <row r="16" spans="1:15" x14ac:dyDescent="0.3">
      <c r="D16" t="s">
        <v>64</v>
      </c>
      <c r="E16">
        <v>8</v>
      </c>
      <c r="F16" s="41" t="s">
        <v>60</v>
      </c>
      <c r="G16" s="9">
        <v>250</v>
      </c>
      <c r="H16" s="10">
        <f t="shared" si="0"/>
        <v>2000</v>
      </c>
    </row>
    <row r="17" spans="3:8" x14ac:dyDescent="0.3">
      <c r="D17" t="s">
        <v>54</v>
      </c>
      <c r="E17">
        <v>96</v>
      </c>
      <c r="F17" s="41" t="s">
        <v>58</v>
      </c>
      <c r="G17" s="9">
        <f>VLOOKUP($A$4,zone_lu,4)</f>
        <v>58.866228829999997</v>
      </c>
      <c r="H17" s="10">
        <f t="shared" si="0"/>
        <v>5651.1579676799993</v>
      </c>
    </row>
    <row r="18" spans="3:8" x14ac:dyDescent="0.3">
      <c r="C18" t="s">
        <v>52</v>
      </c>
      <c r="F18" s="41"/>
      <c r="G18" s="9"/>
      <c r="H18" s="10">
        <f t="shared" si="0"/>
        <v>0</v>
      </c>
    </row>
    <row r="19" spans="3:8" x14ac:dyDescent="0.3">
      <c r="D19" t="s">
        <v>66</v>
      </c>
      <c r="E19">
        <v>8</v>
      </c>
      <c r="F19" s="41" t="s">
        <v>62</v>
      </c>
      <c r="G19" s="29">
        <v>2700</v>
      </c>
      <c r="H19" s="10">
        <f t="shared" si="0"/>
        <v>21600</v>
      </c>
    </row>
    <row r="20" spans="3:8" x14ac:dyDescent="0.3">
      <c r="D20" s="22" t="s">
        <v>80</v>
      </c>
      <c r="F20" s="41"/>
      <c r="G20" s="9"/>
      <c r="H20" s="10">
        <f t="shared" si="0"/>
        <v>0</v>
      </c>
    </row>
    <row r="21" spans="3:8" x14ac:dyDescent="0.3">
      <c r="D21" s="15" t="s">
        <v>68</v>
      </c>
      <c r="E21">
        <v>8</v>
      </c>
      <c r="F21" s="41" t="s">
        <v>62</v>
      </c>
      <c r="G21" s="9">
        <v>100</v>
      </c>
      <c r="H21" s="10">
        <f t="shared" si="0"/>
        <v>800</v>
      </c>
    </row>
    <row r="22" spans="3:8" x14ac:dyDescent="0.3">
      <c r="D22" s="15" t="s">
        <v>114</v>
      </c>
      <c r="E22">
        <v>800</v>
      </c>
      <c r="F22" s="41" t="s">
        <v>67</v>
      </c>
      <c r="G22" s="9">
        <v>4</v>
      </c>
      <c r="H22" s="10">
        <f t="shared" si="0"/>
        <v>3200</v>
      </c>
    </row>
    <row r="23" spans="3:8" x14ac:dyDescent="0.3">
      <c r="D23" t="s">
        <v>64</v>
      </c>
      <c r="E23">
        <v>8</v>
      </c>
      <c r="F23" s="41" t="s">
        <v>60</v>
      </c>
      <c r="G23" s="9">
        <v>400</v>
      </c>
      <c r="H23" s="10">
        <f t="shared" si="0"/>
        <v>3200</v>
      </c>
    </row>
    <row r="24" spans="3:8" x14ac:dyDescent="0.3">
      <c r="D24" t="s">
        <v>54</v>
      </c>
      <c r="E24">
        <v>96</v>
      </c>
      <c r="F24" s="41" t="s">
        <v>58</v>
      </c>
      <c r="G24" s="9">
        <f>VLOOKUP($A$4,zone_lu,4)</f>
        <v>58.866228829999997</v>
      </c>
      <c r="H24" s="10">
        <f t="shared" si="0"/>
        <v>5651.1579676799993</v>
      </c>
    </row>
    <row r="25" spans="3:8" x14ac:dyDescent="0.3">
      <c r="C25" t="s">
        <v>106</v>
      </c>
      <c r="F25" s="41"/>
      <c r="G25" s="9"/>
      <c r="H25" s="10"/>
    </row>
    <row r="26" spans="3:8" x14ac:dyDescent="0.3">
      <c r="D26" t="s">
        <v>111</v>
      </c>
      <c r="E26">
        <v>8</v>
      </c>
      <c r="F26" s="41" t="s">
        <v>62</v>
      </c>
      <c r="G26" s="9">
        <v>400</v>
      </c>
      <c r="H26" s="10">
        <f t="shared" si="0"/>
        <v>3200</v>
      </c>
    </row>
    <row r="27" spans="3:8" x14ac:dyDescent="0.3">
      <c r="C27" t="s">
        <v>128</v>
      </c>
      <c r="F27" s="41"/>
      <c r="G27" s="9"/>
      <c r="H27" s="10"/>
    </row>
    <row r="28" spans="3:8" x14ac:dyDescent="0.3">
      <c r="D28" t="s">
        <v>129</v>
      </c>
      <c r="E28">
        <v>16</v>
      </c>
      <c r="F28" s="41" t="s">
        <v>62</v>
      </c>
      <c r="G28" s="9">
        <v>75</v>
      </c>
      <c r="H28" s="10">
        <f t="shared" si="0"/>
        <v>1200</v>
      </c>
    </row>
    <row r="29" spans="3:8" x14ac:dyDescent="0.3">
      <c r="D29" t="s">
        <v>130</v>
      </c>
      <c r="F29" s="41" t="s">
        <v>62</v>
      </c>
      <c r="G29" s="9"/>
      <c r="H29" s="38" t="s">
        <v>112</v>
      </c>
    </row>
    <row r="30" spans="3:8" x14ac:dyDescent="0.3">
      <c r="D30" t="s">
        <v>131</v>
      </c>
      <c r="E30">
        <v>240</v>
      </c>
      <c r="F30" s="41" t="s">
        <v>67</v>
      </c>
      <c r="G30" s="9">
        <v>3</v>
      </c>
      <c r="H30" s="10">
        <f t="shared" si="0"/>
        <v>720</v>
      </c>
    </row>
    <row r="31" spans="3:8" x14ac:dyDescent="0.3">
      <c r="D31" t="s">
        <v>54</v>
      </c>
      <c r="E31">
        <v>96</v>
      </c>
      <c r="F31" s="41" t="s">
        <v>58</v>
      </c>
      <c r="G31" s="9">
        <f>VLOOKUP($A$4,zone_lu,4)</f>
        <v>58.866228829999997</v>
      </c>
      <c r="H31" s="10">
        <f t="shared" si="0"/>
        <v>5651.1579676799993</v>
      </c>
    </row>
    <row r="32" spans="3:8" x14ac:dyDescent="0.3">
      <c r="C32" t="s">
        <v>118</v>
      </c>
      <c r="F32" s="41"/>
      <c r="G32" s="9"/>
      <c r="H32" s="10">
        <f t="shared" si="0"/>
        <v>0</v>
      </c>
    </row>
    <row r="33" spans="2:9" x14ac:dyDescent="0.3">
      <c r="D33" t="s">
        <v>121</v>
      </c>
      <c r="F33" s="41"/>
      <c r="G33" s="9"/>
      <c r="H33" s="38" t="s">
        <v>132</v>
      </c>
    </row>
    <row r="34" spans="2:9" x14ac:dyDescent="0.3">
      <c r="D34" t="s">
        <v>54</v>
      </c>
      <c r="F34" s="41"/>
      <c r="G34" s="9"/>
      <c r="H34" s="38" t="s">
        <v>132</v>
      </c>
    </row>
    <row r="35" spans="2:9" x14ac:dyDescent="0.3">
      <c r="E35" s="11"/>
      <c r="F35" s="42"/>
      <c r="G35" s="12"/>
      <c r="H35" s="13">
        <f>SUBTOTAL(9,H12:H34)</f>
        <v>62473.473903040009</v>
      </c>
    </row>
    <row r="36" spans="2:9" x14ac:dyDescent="0.3">
      <c r="E36" s="16"/>
      <c r="F36" s="43"/>
      <c r="G36" s="17"/>
      <c r="H36" s="18"/>
    </row>
    <row r="37" spans="2:9" x14ac:dyDescent="0.3">
      <c r="B37" s="11"/>
      <c r="C37" s="11" t="s">
        <v>71</v>
      </c>
      <c r="D37" s="11"/>
      <c r="E37" s="11"/>
      <c r="F37" s="42"/>
      <c r="G37" s="12"/>
      <c r="H37" s="13">
        <f>SUBTOTAL(9,H6:H36)</f>
        <v>62473.473903040009</v>
      </c>
    </row>
    <row r="38" spans="2:9" x14ac:dyDescent="0.3">
      <c r="F38" s="41"/>
      <c r="G38" s="9"/>
      <c r="H38" s="10">
        <f t="shared" si="0"/>
        <v>0</v>
      </c>
    </row>
    <row r="39" spans="2:9" x14ac:dyDescent="0.3">
      <c r="B39" t="s">
        <v>104</v>
      </c>
      <c r="E39" s="49">
        <f>ROUND(VLOOKUP($A$4,zone_lu,5)*0.6,2)</f>
        <v>0.09</v>
      </c>
      <c r="F39" s="41"/>
      <c r="G39" s="9"/>
      <c r="H39" s="10">
        <f>ROUND(H37*E39,0)</f>
        <v>5623</v>
      </c>
      <c r="I39" s="10">
        <f>ROUND(I37*F39,0)</f>
        <v>0</v>
      </c>
    </row>
    <row r="40" spans="2:9" x14ac:dyDescent="0.3">
      <c r="E40" s="49"/>
      <c r="F40" s="41"/>
      <c r="G40" s="9"/>
      <c r="H40" s="10"/>
      <c r="I40" s="10"/>
    </row>
    <row r="41" spans="2:9" x14ac:dyDescent="0.3">
      <c r="B41" t="s">
        <v>103</v>
      </c>
      <c r="E41" s="49">
        <f>ROUND(VLOOKUP($A$4,zone_lu,6)*0.4,2)</f>
        <v>0.04</v>
      </c>
      <c r="F41" s="41"/>
      <c r="G41" s="9"/>
      <c r="H41" s="10">
        <f>ROUND(SUM(H37:H40)*E41,0)</f>
        <v>2724</v>
      </c>
      <c r="I41" s="10"/>
    </row>
    <row r="42" spans="2:9" x14ac:dyDescent="0.3">
      <c r="E42" s="49"/>
      <c r="F42" s="41"/>
      <c r="G42" s="9"/>
      <c r="H42" s="10"/>
      <c r="I42" s="10"/>
    </row>
    <row r="43" spans="2:9" x14ac:dyDescent="0.3">
      <c r="B43" t="s">
        <v>127</v>
      </c>
      <c r="E43" s="49">
        <f>VLOOKUP($A$4,zone_lu,7)</f>
        <v>1.2500000000000001E-2</v>
      </c>
      <c r="F43" s="41"/>
      <c r="G43" s="9"/>
      <c r="H43" s="10">
        <f>ROUND(SUM(H37:H42)*E43,0)</f>
        <v>885</v>
      </c>
      <c r="I43" s="10"/>
    </row>
    <row r="44" spans="2:9" x14ac:dyDescent="0.3">
      <c r="E44" s="49"/>
      <c r="F44" s="41"/>
      <c r="G44" s="9"/>
      <c r="H44" s="10"/>
      <c r="I44" s="10"/>
    </row>
    <row r="45" spans="2:9" x14ac:dyDescent="0.3">
      <c r="B45" t="s">
        <v>105</v>
      </c>
      <c r="E45" s="49"/>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71705.473903040009</v>
      </c>
    </row>
    <row r="49" ht="15" thickTop="1" x14ac:dyDescent="0.3"/>
  </sheetData>
  <mergeCells count="1">
    <mergeCell ref="A4:C4"/>
  </mergeCells>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79">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1990's</v>
      </c>
    </row>
    <row r="2" spans="1:15" x14ac:dyDescent="0.3">
      <c r="A2" t="s">
        <v>10</v>
      </c>
    </row>
    <row r="3" spans="1:15" x14ac:dyDescent="0.3">
      <c r="A3" t="s">
        <v>70</v>
      </c>
    </row>
    <row r="4" spans="1:15" ht="14.4" customHeight="1" x14ac:dyDescent="0.3">
      <c r="A4" s="88" t="s">
        <v>56</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80">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1990's</v>
      </c>
    </row>
    <row r="2" spans="1:15" x14ac:dyDescent="0.3">
      <c r="A2" t="s">
        <v>10</v>
      </c>
    </row>
    <row r="3" spans="1:15" x14ac:dyDescent="0.3">
      <c r="A3" t="s">
        <v>49</v>
      </c>
    </row>
    <row r="4" spans="1:15" ht="14.4" customHeight="1" x14ac:dyDescent="0.3">
      <c r="A4" s="88" t="s">
        <v>57</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81">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1990's</v>
      </c>
    </row>
    <row r="2" spans="1:15" x14ac:dyDescent="0.3">
      <c r="A2" t="s">
        <v>10</v>
      </c>
    </row>
    <row r="3" spans="1:15" x14ac:dyDescent="0.3">
      <c r="A3" t="s">
        <v>70</v>
      </c>
    </row>
    <row r="4" spans="1:15" ht="14.4" customHeight="1" x14ac:dyDescent="0.3">
      <c r="A4" s="88" t="s">
        <v>57</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95">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1990's</v>
      </c>
    </row>
    <row r="2" spans="1:15" x14ac:dyDescent="0.3">
      <c r="A2" t="s">
        <v>10</v>
      </c>
    </row>
    <row r="3" spans="1:15" x14ac:dyDescent="0.3">
      <c r="A3" t="s">
        <v>49</v>
      </c>
    </row>
    <row r="4" spans="1:15" ht="14.4" customHeight="1" x14ac:dyDescent="0.3">
      <c r="A4" s="88" t="s">
        <v>57</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96">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1990's</v>
      </c>
    </row>
    <row r="2" spans="1:15" x14ac:dyDescent="0.3">
      <c r="A2" t="s">
        <v>10</v>
      </c>
    </row>
    <row r="3" spans="1:15" x14ac:dyDescent="0.3">
      <c r="A3" t="s">
        <v>70</v>
      </c>
    </row>
    <row r="4" spans="1:15" ht="14.4" customHeight="1" x14ac:dyDescent="0.3">
      <c r="A4" s="88" t="s">
        <v>57</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98">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1990's</v>
      </c>
    </row>
    <row r="2" spans="1:15" x14ac:dyDescent="0.3">
      <c r="A2" t="s">
        <v>10</v>
      </c>
    </row>
    <row r="3" spans="1:15" x14ac:dyDescent="0.3">
      <c r="A3" t="s">
        <v>49</v>
      </c>
    </row>
    <row r="4" spans="1:15" ht="14.4" customHeight="1" x14ac:dyDescent="0.3">
      <c r="A4" s="88" t="s">
        <v>57</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97">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1990's</v>
      </c>
    </row>
    <row r="2" spans="1:15" x14ac:dyDescent="0.3">
      <c r="A2" t="s">
        <v>10</v>
      </c>
    </row>
    <row r="3" spans="1:15" x14ac:dyDescent="0.3">
      <c r="A3" t="s">
        <v>70</v>
      </c>
    </row>
    <row r="4" spans="1:15" ht="14.4" customHeight="1" x14ac:dyDescent="0.3">
      <c r="A4" s="88" t="s">
        <v>57</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99">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1990's</v>
      </c>
    </row>
    <row r="2" spans="1:15" x14ac:dyDescent="0.3">
      <c r="A2" t="s">
        <v>10</v>
      </c>
    </row>
    <row r="3" spans="1:15" x14ac:dyDescent="0.3">
      <c r="A3" t="s">
        <v>49</v>
      </c>
    </row>
    <row r="4" spans="1:15" ht="14.4" customHeight="1" x14ac:dyDescent="0.3">
      <c r="A4" s="88" t="s">
        <v>57</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100">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1990's</v>
      </c>
    </row>
    <row r="2" spans="1:15" x14ac:dyDescent="0.3">
      <c r="A2" t="s">
        <v>10</v>
      </c>
    </row>
    <row r="3" spans="1:15" x14ac:dyDescent="0.3">
      <c r="A3" t="s">
        <v>70</v>
      </c>
    </row>
    <row r="4" spans="1:15" ht="14.4" customHeight="1" x14ac:dyDescent="0.3">
      <c r="A4" s="88" t="s">
        <v>57</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101">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1990's</v>
      </c>
    </row>
    <row r="2" spans="1:15" x14ac:dyDescent="0.3">
      <c r="A2" t="s">
        <v>10</v>
      </c>
    </row>
    <row r="3" spans="1:15" x14ac:dyDescent="0.3">
      <c r="A3" t="s">
        <v>49</v>
      </c>
    </row>
    <row r="4" spans="1:15" ht="14.4" customHeight="1" x14ac:dyDescent="0.3">
      <c r="A4" s="88" t="s">
        <v>57</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
  <dimension ref="A1:O49"/>
  <sheetViews>
    <sheetView showGridLines="0" topLeftCell="A6"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O1" t="str">
        <f>A1&amp;": "&amp;A2</f>
        <v>Low Rise Multi-Family: New Construction</v>
      </c>
    </row>
    <row r="2" spans="1:15" x14ac:dyDescent="0.3">
      <c r="A2" t="s">
        <v>0</v>
      </c>
    </row>
    <row r="3" spans="1:15" x14ac:dyDescent="0.3">
      <c r="A3" t="s">
        <v>49</v>
      </c>
      <c r="F3" s="41"/>
      <c r="G3" s="9"/>
      <c r="H3" s="8"/>
    </row>
    <row r="4" spans="1:15" ht="14.4" customHeight="1" x14ac:dyDescent="0.3">
      <c r="A4" s="88">
        <v>9</v>
      </c>
      <c r="B4" s="88"/>
      <c r="C4" s="88"/>
    </row>
    <row r="6" spans="1:15" x14ac:dyDescent="0.3">
      <c r="B6" t="s">
        <v>50</v>
      </c>
      <c r="F6" s="41"/>
      <c r="G6" s="9"/>
      <c r="H6" s="8"/>
    </row>
    <row r="7" spans="1:15" x14ac:dyDescent="0.3">
      <c r="C7" t="s">
        <v>120</v>
      </c>
      <c r="F7" s="41"/>
      <c r="G7" s="9"/>
      <c r="H7" s="38" t="s">
        <v>112</v>
      </c>
    </row>
    <row r="8" spans="1:15" x14ac:dyDescent="0.3">
      <c r="D8" t="s">
        <v>54</v>
      </c>
      <c r="F8" s="41"/>
      <c r="G8" s="9"/>
      <c r="H8" s="10"/>
    </row>
    <row r="9" spans="1:15" x14ac:dyDescent="0.3">
      <c r="D9" t="s">
        <v>59</v>
      </c>
      <c r="F9" s="41"/>
      <c r="G9" s="9"/>
      <c r="H9" s="10"/>
    </row>
    <row r="10" spans="1:15" x14ac:dyDescent="0.3">
      <c r="E10" s="11"/>
      <c r="F10" s="42"/>
      <c r="G10" s="12"/>
      <c r="H10" s="13">
        <f>SUBTOTAL(9,H6:H9)</f>
        <v>0</v>
      </c>
    </row>
    <row r="11" spans="1:15" x14ac:dyDescent="0.3">
      <c r="F11" s="41"/>
      <c r="G11" s="9"/>
      <c r="H11" s="10">
        <f t="shared" ref="H11:H38" si="0">E11*G11</f>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8</v>
      </c>
      <c r="F14" s="41" t="s">
        <v>62</v>
      </c>
      <c r="G14" s="29">
        <v>1200</v>
      </c>
      <c r="H14" s="10">
        <f t="shared" si="0"/>
        <v>9600</v>
      </c>
    </row>
    <row r="15" spans="1:15" x14ac:dyDescent="0.3">
      <c r="D15" s="22" t="s">
        <v>79</v>
      </c>
      <c r="F15" s="41"/>
      <c r="G15" s="9"/>
      <c r="H15" s="10">
        <f t="shared" si="0"/>
        <v>0</v>
      </c>
    </row>
    <row r="16" spans="1:15" x14ac:dyDescent="0.3">
      <c r="D16" t="s">
        <v>64</v>
      </c>
      <c r="E16">
        <v>8</v>
      </c>
      <c r="F16" s="41" t="s">
        <v>60</v>
      </c>
      <c r="G16" s="9">
        <v>250</v>
      </c>
      <c r="H16" s="10">
        <f t="shared" si="0"/>
        <v>2000</v>
      </c>
    </row>
    <row r="17" spans="3:8" x14ac:dyDescent="0.3">
      <c r="D17" t="s">
        <v>54</v>
      </c>
      <c r="E17">
        <v>96</v>
      </c>
      <c r="F17" s="41" t="s">
        <v>58</v>
      </c>
      <c r="G17" s="9">
        <f>VLOOKUP($A$4,zone_lu,4)</f>
        <v>58.866228829999997</v>
      </c>
      <c r="H17" s="10">
        <f t="shared" si="0"/>
        <v>5651.1579676799993</v>
      </c>
    </row>
    <row r="18" spans="3:8" x14ac:dyDescent="0.3">
      <c r="C18" t="s">
        <v>52</v>
      </c>
      <c r="F18" s="41"/>
      <c r="G18" s="9"/>
      <c r="H18" s="10">
        <f t="shared" si="0"/>
        <v>0</v>
      </c>
    </row>
    <row r="19" spans="3:8" x14ac:dyDescent="0.3">
      <c r="D19" t="s">
        <v>66</v>
      </c>
      <c r="E19">
        <v>8</v>
      </c>
      <c r="F19" s="41" t="s">
        <v>62</v>
      </c>
      <c r="G19" s="29">
        <v>3500</v>
      </c>
      <c r="H19" s="10">
        <f t="shared" si="0"/>
        <v>28000</v>
      </c>
    </row>
    <row r="20" spans="3:8" x14ac:dyDescent="0.3">
      <c r="D20" s="22" t="s">
        <v>65</v>
      </c>
      <c r="F20" s="41"/>
      <c r="G20" s="9"/>
      <c r="H20" s="10">
        <f t="shared" si="0"/>
        <v>0</v>
      </c>
    </row>
    <row r="21" spans="3:8" x14ac:dyDescent="0.3">
      <c r="D21" s="15" t="s">
        <v>68</v>
      </c>
      <c r="E21">
        <v>8</v>
      </c>
      <c r="F21" s="41" t="s">
        <v>62</v>
      </c>
      <c r="G21" s="9">
        <v>100</v>
      </c>
      <c r="H21" s="10">
        <f t="shared" si="0"/>
        <v>800</v>
      </c>
    </row>
    <row r="22" spans="3:8" x14ac:dyDescent="0.3">
      <c r="D22" s="15" t="s">
        <v>114</v>
      </c>
      <c r="E22">
        <v>800</v>
      </c>
      <c r="F22" s="41" t="s">
        <v>67</v>
      </c>
      <c r="G22" s="9">
        <v>4</v>
      </c>
      <c r="H22" s="10">
        <f t="shared" si="0"/>
        <v>3200</v>
      </c>
    </row>
    <row r="23" spans="3:8" x14ac:dyDescent="0.3">
      <c r="D23" t="s">
        <v>64</v>
      </c>
      <c r="E23">
        <v>8</v>
      </c>
      <c r="F23" s="41" t="s">
        <v>60</v>
      </c>
      <c r="G23" s="9">
        <v>400</v>
      </c>
      <c r="H23" s="10">
        <f t="shared" si="0"/>
        <v>3200</v>
      </c>
    </row>
    <row r="24" spans="3:8" x14ac:dyDescent="0.3">
      <c r="D24" t="s">
        <v>54</v>
      </c>
      <c r="E24">
        <v>96</v>
      </c>
      <c r="F24" s="41" t="s">
        <v>58</v>
      </c>
      <c r="G24" s="9">
        <f>VLOOKUP($A$4,zone_lu,4)</f>
        <v>58.866228829999997</v>
      </c>
      <c r="H24" s="10">
        <f t="shared" si="0"/>
        <v>5651.1579676799993</v>
      </c>
    </row>
    <row r="25" spans="3:8" x14ac:dyDescent="0.3">
      <c r="C25" t="s">
        <v>106</v>
      </c>
      <c r="F25" s="41"/>
      <c r="G25" s="9"/>
      <c r="H25" s="10"/>
    </row>
    <row r="26" spans="3:8" x14ac:dyDescent="0.3">
      <c r="D26" t="s">
        <v>111</v>
      </c>
      <c r="E26">
        <v>8</v>
      </c>
      <c r="F26" s="41" t="s">
        <v>62</v>
      </c>
      <c r="G26" s="9">
        <v>400</v>
      </c>
      <c r="H26" s="10">
        <f t="shared" si="0"/>
        <v>3200</v>
      </c>
    </row>
    <row r="27" spans="3:8" x14ac:dyDescent="0.3">
      <c r="C27" t="s">
        <v>128</v>
      </c>
      <c r="F27" s="41"/>
      <c r="G27" s="9"/>
      <c r="H27" s="10"/>
    </row>
    <row r="28" spans="3:8" x14ac:dyDescent="0.3">
      <c r="D28" t="s">
        <v>129</v>
      </c>
      <c r="E28">
        <v>16</v>
      </c>
      <c r="F28" s="41" t="s">
        <v>62</v>
      </c>
      <c r="G28" s="9">
        <v>75</v>
      </c>
      <c r="H28" s="10">
        <f t="shared" si="0"/>
        <v>1200</v>
      </c>
    </row>
    <row r="29" spans="3:8" x14ac:dyDescent="0.3">
      <c r="D29" t="s">
        <v>130</v>
      </c>
      <c r="F29" s="41" t="s">
        <v>62</v>
      </c>
      <c r="G29" s="9"/>
      <c r="H29" s="38" t="s">
        <v>112</v>
      </c>
    </row>
    <row r="30" spans="3:8" x14ac:dyDescent="0.3">
      <c r="D30" t="s">
        <v>131</v>
      </c>
      <c r="E30">
        <v>240</v>
      </c>
      <c r="F30" s="41" t="s">
        <v>67</v>
      </c>
      <c r="G30" s="9">
        <v>3</v>
      </c>
      <c r="H30" s="10">
        <f t="shared" si="0"/>
        <v>720</v>
      </c>
    </row>
    <row r="31" spans="3:8" x14ac:dyDescent="0.3">
      <c r="D31" t="s">
        <v>54</v>
      </c>
      <c r="E31">
        <v>96</v>
      </c>
      <c r="F31" s="41" t="s">
        <v>58</v>
      </c>
      <c r="G31" s="9">
        <f>VLOOKUP($A$4,zone_lu,4)</f>
        <v>58.866228829999997</v>
      </c>
      <c r="H31" s="10">
        <f t="shared" si="0"/>
        <v>5651.1579676799993</v>
      </c>
    </row>
    <row r="32" spans="3:8" x14ac:dyDescent="0.3">
      <c r="C32" t="s">
        <v>118</v>
      </c>
      <c r="F32" s="41"/>
      <c r="G32" s="9"/>
      <c r="H32" s="10">
        <f t="shared" si="0"/>
        <v>0</v>
      </c>
    </row>
    <row r="33" spans="2:9" x14ac:dyDescent="0.3">
      <c r="D33" t="s">
        <v>121</v>
      </c>
      <c r="F33" s="41"/>
      <c r="G33" s="9"/>
      <c r="H33" s="38" t="s">
        <v>132</v>
      </c>
    </row>
    <row r="34" spans="2:9" x14ac:dyDescent="0.3">
      <c r="D34" t="s">
        <v>54</v>
      </c>
      <c r="F34" s="41"/>
      <c r="G34" s="9"/>
      <c r="H34" s="38" t="s">
        <v>132</v>
      </c>
    </row>
    <row r="35" spans="2:9" x14ac:dyDescent="0.3">
      <c r="E35" s="11"/>
      <c r="F35" s="42"/>
      <c r="G35" s="12"/>
      <c r="H35" s="13">
        <f>SUBTOTAL(9,H12:H34)</f>
        <v>68873.473903040009</v>
      </c>
    </row>
    <row r="36" spans="2:9" x14ac:dyDescent="0.3">
      <c r="E36" s="16"/>
      <c r="F36" s="43"/>
      <c r="G36" s="17"/>
      <c r="H36" s="18"/>
    </row>
    <row r="37" spans="2:9" x14ac:dyDescent="0.3">
      <c r="B37" s="11"/>
      <c r="C37" s="11" t="s">
        <v>71</v>
      </c>
      <c r="D37" s="11"/>
      <c r="E37" s="11"/>
      <c r="F37" s="42"/>
      <c r="G37" s="12"/>
      <c r="H37" s="13">
        <f>SUBTOTAL(9,H6:H36)</f>
        <v>68873.473903040009</v>
      </c>
    </row>
    <row r="38" spans="2:9" x14ac:dyDescent="0.3">
      <c r="F38" s="41"/>
      <c r="G38" s="9"/>
      <c r="H38" s="10">
        <f t="shared" si="0"/>
        <v>0</v>
      </c>
    </row>
    <row r="39" spans="2:9" x14ac:dyDescent="0.3">
      <c r="B39" t="s">
        <v>104</v>
      </c>
      <c r="E39" s="49">
        <f>ROUND(VLOOKUP($A$4,zone_lu,5)*0.6,2)</f>
        <v>0.09</v>
      </c>
      <c r="F39" s="41"/>
      <c r="G39" s="9"/>
      <c r="H39" s="10">
        <f>ROUND(H37*E39,0)</f>
        <v>6199</v>
      </c>
      <c r="I39" s="10">
        <f>ROUND(I37*F39,0)</f>
        <v>0</v>
      </c>
    </row>
    <row r="40" spans="2:9" x14ac:dyDescent="0.3">
      <c r="E40" s="49"/>
      <c r="F40" s="41"/>
      <c r="G40" s="9"/>
      <c r="H40" s="10"/>
      <c r="I40" s="10"/>
    </row>
    <row r="41" spans="2:9" x14ac:dyDescent="0.3">
      <c r="B41" t="s">
        <v>103</v>
      </c>
      <c r="E41" s="49">
        <f>ROUND(VLOOKUP($A$4,zone_lu,6)*0.4,2)</f>
        <v>0.04</v>
      </c>
      <c r="F41" s="41"/>
      <c r="G41" s="9"/>
      <c r="H41" s="10">
        <f>ROUND(SUM(H37:H40)*E41,0)</f>
        <v>3003</v>
      </c>
      <c r="I41" s="10"/>
    </row>
    <row r="42" spans="2:9" x14ac:dyDescent="0.3">
      <c r="E42" s="49"/>
      <c r="F42" s="41"/>
      <c r="G42" s="9"/>
      <c r="H42" s="10"/>
      <c r="I42" s="10"/>
    </row>
    <row r="43" spans="2:9" x14ac:dyDescent="0.3">
      <c r="B43" t="s">
        <v>127</v>
      </c>
      <c r="E43" s="49">
        <f>VLOOKUP($A$4,zone_lu,7)</f>
        <v>1.2500000000000001E-2</v>
      </c>
      <c r="F43" s="41"/>
      <c r="G43" s="9"/>
      <c r="H43" s="10">
        <f>ROUND(SUM(H37:H42)*E43,0)</f>
        <v>976</v>
      </c>
      <c r="I43" s="10"/>
    </row>
    <row r="44" spans="2:9" x14ac:dyDescent="0.3">
      <c r="E44" s="49"/>
      <c r="F44" s="41"/>
      <c r="G44" s="9"/>
      <c r="H44" s="10"/>
      <c r="I44" s="10"/>
    </row>
    <row r="45" spans="2:9" x14ac:dyDescent="0.3">
      <c r="B45" t="s">
        <v>105</v>
      </c>
      <c r="E45" s="49"/>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79051.473903040009</v>
      </c>
    </row>
    <row r="49" ht="15" thickTop="1" x14ac:dyDescent="0.3"/>
  </sheetData>
  <mergeCells count="1">
    <mergeCell ref="A4:C4"/>
  </mergeCells>
  <pageMargins left="0.7" right="0.7" top="0.75" bottom="0.75" header="0.3" footer="0.3"/>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102">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1990's</v>
      </c>
    </row>
    <row r="2" spans="1:15" x14ac:dyDescent="0.3">
      <c r="A2" t="s">
        <v>10</v>
      </c>
    </row>
    <row r="3" spans="1:15" x14ac:dyDescent="0.3">
      <c r="A3" t="s">
        <v>70</v>
      </c>
    </row>
    <row r="4" spans="1:15" ht="14.4" customHeight="1" x14ac:dyDescent="0.3">
      <c r="A4" s="88" t="s">
        <v>57</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82">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Pre-1978</v>
      </c>
    </row>
    <row r="2" spans="1:15" x14ac:dyDescent="0.3">
      <c r="A2" t="s">
        <v>69</v>
      </c>
    </row>
    <row r="3" spans="1:15" x14ac:dyDescent="0.3">
      <c r="A3" t="s">
        <v>49</v>
      </c>
    </row>
    <row r="4" spans="1:15" ht="14.4" customHeight="1" x14ac:dyDescent="0.3">
      <c r="A4" s="88" t="s">
        <v>56</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83">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Pre-1978</v>
      </c>
    </row>
    <row r="2" spans="1:15" x14ac:dyDescent="0.3">
      <c r="A2" t="s">
        <v>69</v>
      </c>
    </row>
    <row r="3" spans="1:15" x14ac:dyDescent="0.3">
      <c r="A3" t="s">
        <v>70</v>
      </c>
    </row>
    <row r="4" spans="1:15" ht="14.4" customHeight="1" x14ac:dyDescent="0.3">
      <c r="A4" s="88" t="s">
        <v>56</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84">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Pre-1978</v>
      </c>
    </row>
    <row r="2" spans="1:15" x14ac:dyDescent="0.3">
      <c r="A2" t="s">
        <v>69</v>
      </c>
    </row>
    <row r="3" spans="1:15" x14ac:dyDescent="0.3">
      <c r="A3" t="s">
        <v>49</v>
      </c>
    </row>
    <row r="4" spans="1:15" ht="14.4" customHeight="1" x14ac:dyDescent="0.3">
      <c r="A4" s="88" t="s">
        <v>57</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85">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Pre-1978</v>
      </c>
    </row>
    <row r="2" spans="1:15" x14ac:dyDescent="0.3">
      <c r="A2" t="s">
        <v>69</v>
      </c>
    </row>
    <row r="3" spans="1:15" x14ac:dyDescent="0.3">
      <c r="A3" t="s">
        <v>70</v>
      </c>
    </row>
    <row r="4" spans="1:15" ht="14.4" customHeight="1" x14ac:dyDescent="0.3">
      <c r="A4" s="88" t="s">
        <v>57</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103">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Pre-1978</v>
      </c>
    </row>
    <row r="2" spans="1:15" x14ac:dyDescent="0.3">
      <c r="A2" t="s">
        <v>69</v>
      </c>
    </row>
    <row r="3" spans="1:15" x14ac:dyDescent="0.3">
      <c r="A3" t="s">
        <v>49</v>
      </c>
    </row>
    <row r="4" spans="1:15" ht="14.4" customHeight="1" x14ac:dyDescent="0.3">
      <c r="A4" s="88" t="s">
        <v>57</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codeName="Sheet104">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Pre-1978</v>
      </c>
    </row>
    <row r="2" spans="1:15" x14ac:dyDescent="0.3">
      <c r="A2" t="s">
        <v>69</v>
      </c>
    </row>
    <row r="3" spans="1:15" x14ac:dyDescent="0.3">
      <c r="A3" t="s">
        <v>70</v>
      </c>
    </row>
    <row r="4" spans="1:15" ht="14.4" customHeight="1" x14ac:dyDescent="0.3">
      <c r="A4" s="88" t="s">
        <v>57</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codeName="Sheet105">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Pre-1978</v>
      </c>
    </row>
    <row r="2" spans="1:15" x14ac:dyDescent="0.3">
      <c r="A2" t="s">
        <v>69</v>
      </c>
    </row>
    <row r="3" spans="1:15" x14ac:dyDescent="0.3">
      <c r="A3" t="s">
        <v>49</v>
      </c>
    </row>
    <row r="4" spans="1:15" ht="14.4" customHeight="1" x14ac:dyDescent="0.3">
      <c r="A4" s="88" t="s">
        <v>57</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codeName="Sheet106">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Pre-1978</v>
      </c>
    </row>
    <row r="2" spans="1:15" x14ac:dyDescent="0.3">
      <c r="A2" t="s">
        <v>69</v>
      </c>
    </row>
    <row r="3" spans="1:15" x14ac:dyDescent="0.3">
      <c r="A3" t="s">
        <v>70</v>
      </c>
    </row>
    <row r="4" spans="1:15" ht="14.4" customHeight="1" x14ac:dyDescent="0.3">
      <c r="A4" s="88" t="s">
        <v>57</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codeName="Sheet107">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Pre-1978</v>
      </c>
    </row>
    <row r="2" spans="1:15" x14ac:dyDescent="0.3">
      <c r="A2" t="s">
        <v>69</v>
      </c>
    </row>
    <row r="3" spans="1:15" x14ac:dyDescent="0.3">
      <c r="A3" t="s">
        <v>49</v>
      </c>
    </row>
    <row r="4" spans="1:15" ht="14.4" customHeight="1" x14ac:dyDescent="0.3">
      <c r="A4" s="88" t="s">
        <v>57</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1"/>
  <dimension ref="A1:O49"/>
  <sheetViews>
    <sheetView showGridLines="0" zoomScale="90" zoomScaleNormal="90" workbookViewId="0">
      <selection activeCell="A2" sqref="A2:XFD2"/>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141</v>
      </c>
      <c r="O1" t="str">
        <f>A1&amp;": "&amp;A2</f>
        <v>Low Rise Multi-Family: New Construction</v>
      </c>
    </row>
    <row r="2" spans="1:15" x14ac:dyDescent="0.3">
      <c r="A2" t="s">
        <v>0</v>
      </c>
    </row>
    <row r="3" spans="1:15" x14ac:dyDescent="0.3">
      <c r="A3" t="s">
        <v>49</v>
      </c>
      <c r="F3" s="41"/>
      <c r="G3" s="9"/>
      <c r="H3" s="8"/>
    </row>
    <row r="4" spans="1:15" ht="14.4" customHeight="1" x14ac:dyDescent="0.3">
      <c r="A4" s="88">
        <v>10</v>
      </c>
      <c r="B4" s="88"/>
      <c r="C4" s="88"/>
    </row>
    <row r="6" spans="1:15" x14ac:dyDescent="0.3">
      <c r="B6" t="s">
        <v>50</v>
      </c>
      <c r="F6" s="41"/>
      <c r="G6" s="9"/>
      <c r="H6" s="8"/>
    </row>
    <row r="7" spans="1:15" x14ac:dyDescent="0.3">
      <c r="C7" t="s">
        <v>120</v>
      </c>
      <c r="F7" s="41"/>
      <c r="G7" s="9"/>
      <c r="H7" s="38" t="s">
        <v>112</v>
      </c>
    </row>
    <row r="8" spans="1:15" x14ac:dyDescent="0.3">
      <c r="D8" t="s">
        <v>54</v>
      </c>
      <c r="F8" s="41"/>
      <c r="G8" s="9"/>
      <c r="H8" s="10"/>
    </row>
    <row r="9" spans="1:15" x14ac:dyDescent="0.3">
      <c r="D9" t="s">
        <v>59</v>
      </c>
      <c r="F9" s="41"/>
      <c r="G9" s="9"/>
      <c r="H9" s="10"/>
    </row>
    <row r="10" spans="1:15" x14ac:dyDescent="0.3">
      <c r="E10" s="11"/>
      <c r="F10" s="42"/>
      <c r="G10" s="12"/>
      <c r="H10" s="13">
        <f>SUBTOTAL(9,H6:H9)</f>
        <v>0</v>
      </c>
    </row>
    <row r="11" spans="1:15" x14ac:dyDescent="0.3">
      <c r="F11" s="41"/>
      <c r="G11" s="9"/>
      <c r="H11" s="10">
        <f t="shared" ref="H11:H38" si="0">E11*G11</f>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8</v>
      </c>
      <c r="F14" s="41" t="s">
        <v>62</v>
      </c>
      <c r="G14" s="29">
        <v>1400</v>
      </c>
      <c r="H14" s="10">
        <f t="shared" si="0"/>
        <v>11200</v>
      </c>
    </row>
    <row r="15" spans="1:15" x14ac:dyDescent="0.3">
      <c r="D15" s="22" t="s">
        <v>82</v>
      </c>
      <c r="F15" s="41"/>
      <c r="G15" s="9"/>
      <c r="H15" s="10">
        <f t="shared" si="0"/>
        <v>0</v>
      </c>
    </row>
    <row r="16" spans="1:15" x14ac:dyDescent="0.3">
      <c r="D16" t="s">
        <v>64</v>
      </c>
      <c r="E16">
        <v>8</v>
      </c>
      <c r="F16" s="41" t="s">
        <v>60</v>
      </c>
      <c r="G16" s="9">
        <v>250</v>
      </c>
      <c r="H16" s="10">
        <f t="shared" si="0"/>
        <v>2000</v>
      </c>
    </row>
    <row r="17" spans="3:8" x14ac:dyDescent="0.3">
      <c r="D17" t="s">
        <v>54</v>
      </c>
      <c r="E17">
        <v>96</v>
      </c>
      <c r="F17" s="41" t="s">
        <v>58</v>
      </c>
      <c r="G17" s="9">
        <f>VLOOKUP($A$4,zone_lu,4)</f>
        <v>58.866228829999997</v>
      </c>
      <c r="H17" s="10">
        <f t="shared" si="0"/>
        <v>5651.1579676799993</v>
      </c>
    </row>
    <row r="18" spans="3:8" x14ac:dyDescent="0.3">
      <c r="C18" t="s">
        <v>52</v>
      </c>
      <c r="F18" s="41"/>
      <c r="G18" s="9"/>
      <c r="H18" s="10">
        <f t="shared" si="0"/>
        <v>0</v>
      </c>
    </row>
    <row r="19" spans="3:8" x14ac:dyDescent="0.3">
      <c r="D19" t="s">
        <v>66</v>
      </c>
      <c r="E19">
        <v>8</v>
      </c>
      <c r="F19" s="41" t="s">
        <v>62</v>
      </c>
      <c r="G19" s="29">
        <v>3800</v>
      </c>
      <c r="H19" s="10">
        <f t="shared" si="0"/>
        <v>30400</v>
      </c>
    </row>
    <row r="20" spans="3:8" x14ac:dyDescent="0.3">
      <c r="D20" s="22" t="s">
        <v>75</v>
      </c>
      <c r="F20" s="41"/>
      <c r="G20" s="9"/>
      <c r="H20" s="10">
        <f t="shared" si="0"/>
        <v>0</v>
      </c>
    </row>
    <row r="21" spans="3:8" x14ac:dyDescent="0.3">
      <c r="D21" s="15" t="s">
        <v>68</v>
      </c>
      <c r="E21">
        <v>8</v>
      </c>
      <c r="F21" s="41" t="s">
        <v>62</v>
      </c>
      <c r="G21" s="9">
        <v>100</v>
      </c>
      <c r="H21" s="10">
        <f t="shared" si="0"/>
        <v>800</v>
      </c>
    </row>
    <row r="22" spans="3:8" x14ac:dyDescent="0.3">
      <c r="D22" s="15" t="s">
        <v>114</v>
      </c>
      <c r="E22">
        <v>800</v>
      </c>
      <c r="F22" s="41" t="s">
        <v>67</v>
      </c>
      <c r="G22" s="9">
        <v>4</v>
      </c>
      <c r="H22" s="10">
        <f t="shared" si="0"/>
        <v>3200</v>
      </c>
    </row>
    <row r="23" spans="3:8" x14ac:dyDescent="0.3">
      <c r="D23" t="s">
        <v>64</v>
      </c>
      <c r="E23">
        <v>8</v>
      </c>
      <c r="F23" s="41" t="s">
        <v>60</v>
      </c>
      <c r="G23" s="9">
        <v>400</v>
      </c>
      <c r="H23" s="10">
        <f t="shared" si="0"/>
        <v>3200</v>
      </c>
    </row>
    <row r="24" spans="3:8" x14ac:dyDescent="0.3">
      <c r="D24" t="s">
        <v>54</v>
      </c>
      <c r="E24">
        <v>96</v>
      </c>
      <c r="F24" s="41" t="s">
        <v>58</v>
      </c>
      <c r="G24" s="9">
        <f>VLOOKUP($A$4,zone_lu,4)</f>
        <v>58.866228829999997</v>
      </c>
      <c r="H24" s="10">
        <f t="shared" si="0"/>
        <v>5651.1579676799993</v>
      </c>
    </row>
    <row r="25" spans="3:8" x14ac:dyDescent="0.3">
      <c r="C25" t="s">
        <v>106</v>
      </c>
      <c r="F25" s="41"/>
      <c r="G25" s="9"/>
      <c r="H25" s="10"/>
    </row>
    <row r="26" spans="3:8" x14ac:dyDescent="0.3">
      <c r="D26" t="s">
        <v>111</v>
      </c>
      <c r="E26">
        <v>8</v>
      </c>
      <c r="F26" s="41" t="s">
        <v>62</v>
      </c>
      <c r="G26" s="9">
        <v>400</v>
      </c>
      <c r="H26" s="10">
        <f t="shared" si="0"/>
        <v>3200</v>
      </c>
    </row>
    <row r="27" spans="3:8" x14ac:dyDescent="0.3">
      <c r="C27" t="s">
        <v>128</v>
      </c>
      <c r="F27" s="41"/>
      <c r="G27" s="9"/>
      <c r="H27" s="10"/>
    </row>
    <row r="28" spans="3:8" x14ac:dyDescent="0.3">
      <c r="D28" t="s">
        <v>129</v>
      </c>
      <c r="E28">
        <v>16</v>
      </c>
      <c r="F28" s="41" t="s">
        <v>62</v>
      </c>
      <c r="G28" s="9">
        <v>75</v>
      </c>
      <c r="H28" s="10">
        <f t="shared" si="0"/>
        <v>1200</v>
      </c>
    </row>
    <row r="29" spans="3:8" x14ac:dyDescent="0.3">
      <c r="D29" t="s">
        <v>130</v>
      </c>
      <c r="F29" s="41" t="s">
        <v>62</v>
      </c>
      <c r="G29" s="9"/>
      <c r="H29" s="38" t="s">
        <v>112</v>
      </c>
    </row>
    <row r="30" spans="3:8" x14ac:dyDescent="0.3">
      <c r="D30" t="s">
        <v>131</v>
      </c>
      <c r="E30">
        <v>240</v>
      </c>
      <c r="F30" s="41" t="s">
        <v>67</v>
      </c>
      <c r="G30" s="9">
        <v>3</v>
      </c>
      <c r="H30" s="10">
        <f t="shared" si="0"/>
        <v>720</v>
      </c>
    </row>
    <row r="31" spans="3:8" x14ac:dyDescent="0.3">
      <c r="D31" t="s">
        <v>54</v>
      </c>
      <c r="E31">
        <v>96</v>
      </c>
      <c r="F31" s="41" t="s">
        <v>58</v>
      </c>
      <c r="G31" s="9">
        <f>VLOOKUP($A$4,zone_lu,4)</f>
        <v>58.866228829999997</v>
      </c>
      <c r="H31" s="10">
        <f t="shared" si="0"/>
        <v>5651.1579676799993</v>
      </c>
    </row>
    <row r="32" spans="3:8" x14ac:dyDescent="0.3">
      <c r="C32" t="s">
        <v>118</v>
      </c>
      <c r="F32" s="41"/>
      <c r="G32" s="9"/>
      <c r="H32" s="10">
        <f t="shared" si="0"/>
        <v>0</v>
      </c>
    </row>
    <row r="33" spans="2:9" x14ac:dyDescent="0.3">
      <c r="D33" t="s">
        <v>121</v>
      </c>
      <c r="F33" s="41"/>
      <c r="G33" s="9"/>
      <c r="H33" s="38" t="s">
        <v>132</v>
      </c>
    </row>
    <row r="34" spans="2:9" x14ac:dyDescent="0.3">
      <c r="D34" t="s">
        <v>54</v>
      </c>
      <c r="F34" s="41"/>
      <c r="G34" s="9"/>
      <c r="H34" s="38" t="s">
        <v>132</v>
      </c>
    </row>
    <row r="35" spans="2:9" x14ac:dyDescent="0.3">
      <c r="E35" s="11"/>
      <c r="F35" s="42"/>
      <c r="G35" s="12"/>
      <c r="H35" s="13">
        <f>SUBTOTAL(9,H12:H34)</f>
        <v>72873.473903040009</v>
      </c>
    </row>
    <row r="36" spans="2:9" x14ac:dyDescent="0.3">
      <c r="E36" s="16"/>
      <c r="F36" s="43"/>
      <c r="G36" s="17"/>
      <c r="H36" s="18"/>
    </row>
    <row r="37" spans="2:9" x14ac:dyDescent="0.3">
      <c r="B37" s="11"/>
      <c r="C37" s="11" t="s">
        <v>71</v>
      </c>
      <c r="D37" s="11"/>
      <c r="E37" s="11"/>
      <c r="F37" s="42"/>
      <c r="G37" s="12"/>
      <c r="H37" s="13">
        <f>SUBTOTAL(9,H6:H36)</f>
        <v>72873.473903040009</v>
      </c>
    </row>
    <row r="38" spans="2:9" x14ac:dyDescent="0.3">
      <c r="F38" s="41"/>
      <c r="G38" s="9"/>
      <c r="H38" s="10">
        <f t="shared" si="0"/>
        <v>0</v>
      </c>
    </row>
    <row r="39" spans="2:9" x14ac:dyDescent="0.3">
      <c r="B39" t="s">
        <v>104</v>
      </c>
      <c r="E39" s="49">
        <f>ROUND(VLOOKUP($A$4,zone_lu,5)*0.6,2)</f>
        <v>0.09</v>
      </c>
      <c r="F39" s="41"/>
      <c r="G39" s="9"/>
      <c r="H39" s="10">
        <f>ROUND(H37*E39,0)</f>
        <v>6559</v>
      </c>
      <c r="I39" s="10">
        <f>ROUND(I37*F39,0)</f>
        <v>0</v>
      </c>
    </row>
    <row r="40" spans="2:9" x14ac:dyDescent="0.3">
      <c r="E40" s="49"/>
      <c r="F40" s="41"/>
      <c r="G40" s="9"/>
      <c r="H40" s="10"/>
      <c r="I40" s="10"/>
    </row>
    <row r="41" spans="2:9" x14ac:dyDescent="0.3">
      <c r="B41" t="s">
        <v>103</v>
      </c>
      <c r="E41" s="49">
        <f>ROUND(VLOOKUP($A$4,zone_lu,6)*0.4,2)</f>
        <v>0.04</v>
      </c>
      <c r="F41" s="41"/>
      <c r="G41" s="9"/>
      <c r="H41" s="10">
        <f>ROUND(SUM(H37:H40)*E41,0)</f>
        <v>3177</v>
      </c>
      <c r="I41" s="10"/>
    </row>
    <row r="42" spans="2:9" x14ac:dyDescent="0.3">
      <c r="E42" s="49"/>
      <c r="F42" s="41"/>
      <c r="G42" s="9"/>
      <c r="H42" s="10"/>
      <c r="I42" s="10"/>
    </row>
    <row r="43" spans="2:9" x14ac:dyDescent="0.3">
      <c r="B43" t="s">
        <v>127</v>
      </c>
      <c r="E43" s="49">
        <f>VLOOKUP($A$4,zone_lu,7)</f>
        <v>1.2500000000000001E-2</v>
      </c>
      <c r="F43" s="41"/>
      <c r="G43" s="9"/>
      <c r="H43" s="10">
        <f>ROUND(SUM(H37:H42)*E43,0)</f>
        <v>1033</v>
      </c>
      <c r="I43" s="10"/>
    </row>
    <row r="44" spans="2:9" x14ac:dyDescent="0.3">
      <c r="E44" s="49"/>
      <c r="F44" s="41"/>
      <c r="G44" s="9"/>
      <c r="H44" s="10"/>
      <c r="I44" s="10"/>
    </row>
    <row r="45" spans="2:9" x14ac:dyDescent="0.3">
      <c r="B45" t="s">
        <v>105</v>
      </c>
      <c r="E45" s="49"/>
      <c r="F45" s="41"/>
      <c r="G45" s="9"/>
      <c r="H45" s="10">
        <f>ROUND(SUM(H37:H44)*E45,0)</f>
        <v>0</v>
      </c>
      <c r="I45" s="10"/>
    </row>
    <row r="46" spans="2:9" x14ac:dyDescent="0.3">
      <c r="E46" s="19"/>
      <c r="F46" s="41"/>
      <c r="G46" s="9"/>
      <c r="H46" s="10"/>
    </row>
    <row r="48" spans="2:9" ht="15" thickBot="1" x14ac:dyDescent="0.35">
      <c r="B48" s="33" t="s">
        <v>72</v>
      </c>
      <c r="C48" s="33"/>
      <c r="D48" s="33"/>
      <c r="E48" s="33"/>
      <c r="F48" s="44"/>
      <c r="G48" s="33"/>
      <c r="H48" s="34">
        <f>SUBTOTAL(9,H6:H47)</f>
        <v>83642.473903040009</v>
      </c>
    </row>
    <row r="49" ht="15" thickTop="1" x14ac:dyDescent="0.3"/>
  </sheetData>
  <mergeCells count="1">
    <mergeCell ref="A4:C4"/>
  </mergeCells>
  <pageMargins left="0.7" right="0.7" top="0.75" bottom="0.75" header="0.3" footer="0.3"/>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codeName="Sheet108">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Pre-1978</v>
      </c>
    </row>
    <row r="2" spans="1:15" x14ac:dyDescent="0.3">
      <c r="A2" t="s">
        <v>69</v>
      </c>
    </row>
    <row r="3" spans="1:15" x14ac:dyDescent="0.3">
      <c r="A3" t="s">
        <v>70</v>
      </c>
    </row>
    <row r="4" spans="1:15" ht="14.4" customHeight="1" x14ac:dyDescent="0.3">
      <c r="A4" s="88" t="s">
        <v>57</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codeName="Sheet109">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Pre-1978</v>
      </c>
    </row>
    <row r="2" spans="1:15" x14ac:dyDescent="0.3">
      <c r="A2" t="s">
        <v>69</v>
      </c>
    </row>
    <row r="3" spans="1:15" x14ac:dyDescent="0.3">
      <c r="A3" t="s">
        <v>49</v>
      </c>
    </row>
    <row r="4" spans="1:15" ht="14.4" customHeight="1" x14ac:dyDescent="0.3">
      <c r="A4" s="88" t="s">
        <v>57</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sheetPr codeName="Sheet110">
    <tabColor theme="4" tint="0.39997558519241921"/>
  </sheetPr>
  <dimension ref="A1:O44"/>
  <sheetViews>
    <sheetView showGridLines="0" workbookViewId="0">
      <selection activeCell="I19" sqref="I19"/>
    </sheetView>
  </sheetViews>
  <sheetFormatPr defaultRowHeight="14.4" x14ac:dyDescent="0.3"/>
  <cols>
    <col min="1" max="3" width="3.6640625" customWidth="1"/>
    <col min="4" max="4" width="34.33203125" bestFit="1" customWidth="1"/>
    <col min="5" max="5" width="9" customWidth="1"/>
    <col min="6" max="6" width="6.6640625" style="40" customWidth="1"/>
    <col min="8" max="8" width="9.109375" bestFit="1" customWidth="1"/>
  </cols>
  <sheetData>
    <row r="1" spans="1:15" x14ac:dyDescent="0.3">
      <c r="A1" t="s">
        <v>32</v>
      </c>
      <c r="O1" t="str">
        <f>A1&amp;": "&amp;A2</f>
        <v>High-Rise Multi-Family: Pre-1978</v>
      </c>
    </row>
    <row r="2" spans="1:15" x14ac:dyDescent="0.3">
      <c r="A2" t="s">
        <v>69</v>
      </c>
    </row>
    <row r="3" spans="1:15" x14ac:dyDescent="0.3">
      <c r="A3" t="s">
        <v>70</v>
      </c>
    </row>
    <row r="4" spans="1:15" ht="14.4" customHeight="1" x14ac:dyDescent="0.3">
      <c r="A4" s="88" t="s">
        <v>57</v>
      </c>
      <c r="B4" s="88"/>
      <c r="C4" s="88"/>
    </row>
    <row r="5" spans="1:15" x14ac:dyDescent="0.3">
      <c r="F5" s="41"/>
      <c r="G5" s="9"/>
      <c r="H5" s="8"/>
    </row>
    <row r="6" spans="1:15" x14ac:dyDescent="0.3">
      <c r="B6" t="s">
        <v>50</v>
      </c>
      <c r="F6" s="41"/>
      <c r="G6" s="9"/>
      <c r="H6" s="8"/>
    </row>
    <row r="7" spans="1:15" x14ac:dyDescent="0.3">
      <c r="C7" t="s">
        <v>55</v>
      </c>
      <c r="F7" s="41"/>
      <c r="G7" s="9"/>
      <c r="H7" s="8"/>
    </row>
    <row r="8" spans="1:15" x14ac:dyDescent="0.3">
      <c r="D8" t="s">
        <v>54</v>
      </c>
      <c r="E8">
        <v>16</v>
      </c>
      <c r="F8" s="41" t="s">
        <v>58</v>
      </c>
      <c r="G8" s="9" t="e">
        <f>VLOOKUP($A$4,zone_lu,4)</f>
        <v>#N/A</v>
      </c>
      <c r="H8" s="10" t="e">
        <f>E8*G8</f>
        <v>#N/A</v>
      </c>
    </row>
    <row r="9" spans="1:15" x14ac:dyDescent="0.3">
      <c r="D9" t="s">
        <v>59</v>
      </c>
      <c r="E9">
        <v>1</v>
      </c>
      <c r="F9" s="41" t="s">
        <v>60</v>
      </c>
      <c r="G9" s="9">
        <v>500</v>
      </c>
      <c r="H9" s="10">
        <f t="shared" ref="H9:H33" si="0">E9*G9</f>
        <v>500</v>
      </c>
    </row>
    <row r="10" spans="1:15" x14ac:dyDescent="0.3">
      <c r="E10" s="11"/>
      <c r="F10" s="42"/>
      <c r="G10" s="12"/>
      <c r="H10" s="13" t="e">
        <f>SUBTOTAL(9,H6:H9)</f>
        <v>#N/A</v>
      </c>
    </row>
    <row r="11" spans="1:15" x14ac:dyDescent="0.3">
      <c r="F11" s="41"/>
      <c r="G11" s="9"/>
      <c r="H11" s="10">
        <f t="shared" si="0"/>
        <v>0</v>
      </c>
    </row>
    <row r="12" spans="1:15" x14ac:dyDescent="0.3">
      <c r="B12" t="s">
        <v>51</v>
      </c>
      <c r="F12" s="41"/>
      <c r="G12" s="9"/>
      <c r="H12" s="10">
        <f t="shared" si="0"/>
        <v>0</v>
      </c>
    </row>
    <row r="13" spans="1:15" x14ac:dyDescent="0.3">
      <c r="C13" t="s">
        <v>53</v>
      </c>
      <c r="F13" s="41"/>
      <c r="G13" s="9"/>
      <c r="H13" s="10">
        <f t="shared" si="0"/>
        <v>0</v>
      </c>
    </row>
    <row r="14" spans="1:15" x14ac:dyDescent="0.3">
      <c r="D14" t="s">
        <v>61</v>
      </c>
      <c r="E14">
        <v>1</v>
      </c>
      <c r="F14" s="41" t="s">
        <v>62</v>
      </c>
      <c r="G14" s="21">
        <v>900</v>
      </c>
      <c r="H14" s="10">
        <f t="shared" si="0"/>
        <v>900</v>
      </c>
    </row>
    <row r="15" spans="1:15" x14ac:dyDescent="0.3">
      <c r="D15" s="20" t="s">
        <v>63</v>
      </c>
      <c r="F15" s="41"/>
      <c r="G15" s="9"/>
      <c r="H15" s="10">
        <f t="shared" si="0"/>
        <v>0</v>
      </c>
    </row>
    <row r="16" spans="1:15" x14ac:dyDescent="0.3">
      <c r="D16" t="s">
        <v>64</v>
      </c>
      <c r="E16">
        <v>1</v>
      </c>
      <c r="F16" s="41" t="s">
        <v>60</v>
      </c>
      <c r="G16" s="9">
        <v>250</v>
      </c>
      <c r="H16" s="10">
        <f t="shared" si="0"/>
        <v>250</v>
      </c>
    </row>
    <row r="17" spans="2:8" x14ac:dyDescent="0.3">
      <c r="D17" t="s">
        <v>54</v>
      </c>
      <c r="E17">
        <v>16</v>
      </c>
      <c r="F17" s="41" t="s">
        <v>58</v>
      </c>
      <c r="G17" s="9" t="e">
        <f>VLOOKUP($A$4,zone_lu,4)</f>
        <v>#N/A</v>
      </c>
      <c r="H17" s="10" t="e">
        <f t="shared" si="0"/>
        <v>#N/A</v>
      </c>
    </row>
    <row r="18" spans="2:8" x14ac:dyDescent="0.3">
      <c r="C18" t="s">
        <v>52</v>
      </c>
      <c r="F18" s="41"/>
      <c r="G18" s="9"/>
      <c r="H18" s="10">
        <f t="shared" si="0"/>
        <v>0</v>
      </c>
    </row>
    <row r="19" spans="2:8" x14ac:dyDescent="0.3">
      <c r="D19" t="s">
        <v>66</v>
      </c>
      <c r="E19">
        <v>1</v>
      </c>
      <c r="F19" s="41" t="s">
        <v>62</v>
      </c>
      <c r="G19" s="21">
        <v>2800</v>
      </c>
      <c r="H19" s="10">
        <f t="shared" si="0"/>
        <v>2800</v>
      </c>
    </row>
    <row r="20" spans="2:8" x14ac:dyDescent="0.3">
      <c r="D20" s="20" t="s">
        <v>65</v>
      </c>
      <c r="F20" s="41"/>
      <c r="G20" s="9"/>
      <c r="H20" s="10">
        <f t="shared" si="0"/>
        <v>0</v>
      </c>
    </row>
    <row r="21" spans="2:8" x14ac:dyDescent="0.3">
      <c r="D21" s="15" t="s">
        <v>68</v>
      </c>
      <c r="E21">
        <v>1</v>
      </c>
      <c r="F21" s="41" t="s">
        <v>62</v>
      </c>
      <c r="G21" s="9">
        <v>100</v>
      </c>
      <c r="H21" s="10">
        <f t="shared" si="0"/>
        <v>100</v>
      </c>
    </row>
    <row r="22" spans="2:8" x14ac:dyDescent="0.3">
      <c r="D22" s="15" t="s">
        <v>114</v>
      </c>
      <c r="E22">
        <v>100</v>
      </c>
      <c r="F22" s="41" t="s">
        <v>67</v>
      </c>
      <c r="G22" s="9">
        <v>4</v>
      </c>
      <c r="H22" s="10">
        <f t="shared" si="0"/>
        <v>400</v>
      </c>
    </row>
    <row r="23" spans="2:8" x14ac:dyDescent="0.3">
      <c r="D23" t="s">
        <v>64</v>
      </c>
      <c r="E23">
        <v>1</v>
      </c>
      <c r="F23" s="41" t="s">
        <v>60</v>
      </c>
      <c r="G23" s="9">
        <v>400</v>
      </c>
      <c r="H23" s="10">
        <f t="shared" si="0"/>
        <v>400</v>
      </c>
    </row>
    <row r="24" spans="2:8" x14ac:dyDescent="0.3">
      <c r="D24" t="s">
        <v>54</v>
      </c>
      <c r="E24">
        <v>32</v>
      </c>
      <c r="F24" s="41" t="s">
        <v>58</v>
      </c>
      <c r="G24" s="9" t="e">
        <f>VLOOKUP($A$4,zone_lu,4)</f>
        <v>#N/A</v>
      </c>
      <c r="H24" s="10" t="e">
        <f t="shared" si="0"/>
        <v>#N/A</v>
      </c>
    </row>
    <row r="25" spans="2:8" x14ac:dyDescent="0.3">
      <c r="C25" t="s">
        <v>106</v>
      </c>
      <c r="F25" s="41"/>
      <c r="G25" s="9"/>
      <c r="H25" s="10"/>
    </row>
    <row r="26" spans="2:8" x14ac:dyDescent="0.3">
      <c r="D26" t="s">
        <v>111</v>
      </c>
      <c r="E26">
        <v>1</v>
      </c>
      <c r="F26" s="41" t="s">
        <v>62</v>
      </c>
      <c r="G26" s="9">
        <v>400</v>
      </c>
      <c r="H26" s="10">
        <f t="shared" si="0"/>
        <v>400</v>
      </c>
    </row>
    <row r="27" spans="2:8" x14ac:dyDescent="0.3">
      <c r="C27" t="s">
        <v>107</v>
      </c>
      <c r="F27" s="41"/>
      <c r="G27" s="9"/>
      <c r="H27" s="10">
        <f t="shared" si="0"/>
        <v>0</v>
      </c>
    </row>
    <row r="28" spans="2:8" x14ac:dyDescent="0.3">
      <c r="D28" t="s">
        <v>64</v>
      </c>
      <c r="E28">
        <v>1</v>
      </c>
      <c r="F28" s="41" t="s">
        <v>60</v>
      </c>
      <c r="G28" s="9">
        <v>250</v>
      </c>
      <c r="H28" s="10">
        <f t="shared" si="0"/>
        <v>250</v>
      </c>
    </row>
    <row r="29" spans="2:8" x14ac:dyDescent="0.3">
      <c r="D29" t="s">
        <v>54</v>
      </c>
      <c r="E29">
        <v>24</v>
      </c>
      <c r="F29" s="41" t="s">
        <v>58</v>
      </c>
      <c r="G29" s="9" t="e">
        <f>VLOOKUP($A$4,zone_lu,4)</f>
        <v>#N/A</v>
      </c>
      <c r="H29" s="10" t="e">
        <f t="shared" si="0"/>
        <v>#N/A</v>
      </c>
    </row>
    <row r="30" spans="2:8" x14ac:dyDescent="0.3">
      <c r="E30" s="11"/>
      <c r="F30" s="42"/>
      <c r="G30" s="12"/>
      <c r="H30" s="13" t="e">
        <f>SUBTOTAL(9,H12:H29)</f>
        <v>#N/A</v>
      </c>
    </row>
    <row r="31" spans="2:8" x14ac:dyDescent="0.3">
      <c r="E31" s="16"/>
      <c r="F31" s="43"/>
      <c r="G31" s="17"/>
      <c r="H31" s="18"/>
    </row>
    <row r="32" spans="2:8" x14ac:dyDescent="0.3">
      <c r="B32" s="11"/>
      <c r="C32" s="11" t="s">
        <v>71</v>
      </c>
      <c r="D32" s="11"/>
      <c r="E32" s="11"/>
      <c r="F32" s="42"/>
      <c r="G32" s="12"/>
      <c r="H32" s="13" t="e">
        <f>SUBTOTAL(9,H6:H31)</f>
        <v>#N/A</v>
      </c>
    </row>
    <row r="33" spans="2:9" x14ac:dyDescent="0.3">
      <c r="F33" s="41"/>
      <c r="G33" s="9"/>
      <c r="H33" s="10">
        <f t="shared" si="0"/>
        <v>0</v>
      </c>
    </row>
    <row r="34" spans="2:9" x14ac:dyDescent="0.3">
      <c r="B34" t="s">
        <v>104</v>
      </c>
      <c r="E34" s="19" t="e">
        <f>VLOOKUP($A$4,zone_lu,5)</f>
        <v>#N/A</v>
      </c>
      <c r="F34" s="41"/>
      <c r="G34" s="9"/>
      <c r="H34" s="10" t="e">
        <f>ROUND(H32*E34,0)</f>
        <v>#N/A</v>
      </c>
      <c r="I34" s="10">
        <f>ROUND(I32*F34,0)</f>
        <v>0</v>
      </c>
    </row>
    <row r="35" spans="2:9" x14ac:dyDescent="0.3">
      <c r="E35" s="19"/>
      <c r="F35" s="41"/>
      <c r="G35" s="9"/>
      <c r="H35" s="10"/>
      <c r="I35" s="10"/>
    </row>
    <row r="36" spans="2:9" x14ac:dyDescent="0.3">
      <c r="B36" t="s">
        <v>103</v>
      </c>
      <c r="E36" s="19" t="e">
        <f>VLOOKUP($A$4,zone_lu,6)</f>
        <v>#N/A</v>
      </c>
      <c r="F36" s="41"/>
      <c r="G36" s="9"/>
      <c r="H36" s="10" t="e">
        <f>ROUND(SUM(H32:H35)*E36,0)</f>
        <v>#N/A</v>
      </c>
      <c r="I36" s="10"/>
    </row>
    <row r="37" spans="2:9" x14ac:dyDescent="0.3">
      <c r="E37" s="19"/>
      <c r="F37" s="41"/>
      <c r="G37" s="9"/>
      <c r="H37" s="10"/>
      <c r="I37" s="10"/>
    </row>
    <row r="38" spans="2:9" x14ac:dyDescent="0.3">
      <c r="B38" t="s">
        <v>105</v>
      </c>
      <c r="E38" s="19" t="e">
        <f>VLOOKUP($A$4,zone_lu,7)</f>
        <v>#N/A</v>
      </c>
      <c r="F38" s="41"/>
      <c r="G38" s="9"/>
      <c r="H38" s="10" t="e">
        <f>ROUND(SUM(H32:H37)*E38,0)</f>
        <v>#N/A</v>
      </c>
      <c r="I38" s="10"/>
    </row>
    <row r="39" spans="2:9" x14ac:dyDescent="0.3">
      <c r="E39" s="19"/>
      <c r="F39" s="41"/>
      <c r="G39" s="9"/>
      <c r="H39" s="10"/>
    </row>
    <row r="41" spans="2:9" ht="15" thickBot="1" x14ac:dyDescent="0.35">
      <c r="B41" s="33" t="s">
        <v>72</v>
      </c>
      <c r="C41" s="33"/>
      <c r="D41" s="33"/>
      <c r="E41" s="33"/>
      <c r="F41" s="44"/>
      <c r="G41" s="33"/>
      <c r="H41" s="34" t="e">
        <f>SUBTOTAL(9,H6:H40)</f>
        <v>#N/A</v>
      </c>
    </row>
    <row r="42" spans="2:9" ht="15" thickTop="1" x14ac:dyDescent="0.3"/>
    <row r="44" spans="2:9" x14ac:dyDescent="0.3">
      <c r="H44" s="27" t="s">
        <v>102</v>
      </c>
    </row>
  </sheetData>
  <mergeCells count="1">
    <mergeCell ref="A4:C4"/>
  </mergeCells>
  <pageMargins left="0.7" right="0.7" top="0.75" bottom="0.75" header="0.3" footer="0.3"/>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codeName="Sheet1"/>
  <dimension ref="A2:J35"/>
  <sheetViews>
    <sheetView showGridLines="0" workbookViewId="0">
      <selection activeCell="G25" sqref="G25:H25"/>
    </sheetView>
  </sheetViews>
  <sheetFormatPr defaultRowHeight="14.4" x14ac:dyDescent="0.3"/>
  <cols>
    <col min="1" max="1" width="4" customWidth="1"/>
    <col min="2" max="2" width="3.109375" customWidth="1"/>
    <col min="3" max="3" width="17" bestFit="1" customWidth="1"/>
    <col min="4" max="4" width="12" bestFit="1" customWidth="1"/>
    <col min="5" max="5" width="18.6640625" customWidth="1"/>
    <col min="6" max="6" width="11.33203125" bestFit="1" customWidth="1"/>
    <col min="7" max="7" width="21" customWidth="1"/>
    <col min="8" max="8" width="11.33203125" bestFit="1" customWidth="1"/>
    <col min="9" max="9" width="22.5546875" customWidth="1"/>
  </cols>
  <sheetData>
    <row r="2" spans="1:10" x14ac:dyDescent="0.3">
      <c r="A2" t="s">
        <v>48</v>
      </c>
    </row>
    <row r="3" spans="1:10" x14ac:dyDescent="0.3">
      <c r="A3" s="2"/>
      <c r="B3" s="2"/>
      <c r="C3" s="2"/>
      <c r="D3" s="2" t="s">
        <v>4</v>
      </c>
      <c r="E3" s="2" t="s">
        <v>15</v>
      </c>
      <c r="F3" s="2"/>
      <c r="G3" s="2" t="s">
        <v>2</v>
      </c>
      <c r="H3" s="2"/>
      <c r="I3" s="2" t="s">
        <v>3</v>
      </c>
      <c r="J3" s="2"/>
    </row>
    <row r="4" spans="1:10" x14ac:dyDescent="0.3">
      <c r="A4" s="2"/>
      <c r="B4" s="2" t="s">
        <v>1</v>
      </c>
      <c r="C4" s="2"/>
      <c r="D4" s="2"/>
      <c r="E4" s="2"/>
      <c r="F4" s="2"/>
      <c r="G4" s="2"/>
      <c r="H4" s="2"/>
      <c r="I4" s="2"/>
      <c r="J4" s="2"/>
    </row>
    <row r="5" spans="1:10" x14ac:dyDescent="0.3">
      <c r="A5" s="2"/>
      <c r="B5" s="2"/>
      <c r="C5" s="2" t="s">
        <v>0</v>
      </c>
      <c r="D5" s="4">
        <v>3</v>
      </c>
      <c r="E5" s="4" t="s">
        <v>16</v>
      </c>
      <c r="F5" s="4" t="s">
        <v>16</v>
      </c>
      <c r="G5" s="2" t="s">
        <v>6</v>
      </c>
      <c r="H5" s="2" t="s">
        <v>7</v>
      </c>
      <c r="I5" s="3" t="s">
        <v>8</v>
      </c>
      <c r="J5" s="2"/>
    </row>
    <row r="6" spans="1:10" x14ac:dyDescent="0.3">
      <c r="A6" s="2"/>
      <c r="B6" s="2"/>
      <c r="C6" s="2"/>
      <c r="D6" s="2" t="s">
        <v>5</v>
      </c>
      <c r="E6" s="2" t="s">
        <v>16</v>
      </c>
      <c r="F6" s="2" t="s">
        <v>16</v>
      </c>
      <c r="G6" s="2" t="s">
        <v>6</v>
      </c>
      <c r="H6" s="2" t="s">
        <v>9</v>
      </c>
      <c r="I6" s="3" t="s">
        <v>8</v>
      </c>
      <c r="J6" s="2"/>
    </row>
    <row r="7" spans="1:10" x14ac:dyDescent="0.3">
      <c r="A7" s="2"/>
      <c r="B7" s="2"/>
      <c r="C7" s="2" t="s">
        <v>10</v>
      </c>
      <c r="D7" s="2" t="s">
        <v>11</v>
      </c>
      <c r="E7" s="2" t="s">
        <v>17</v>
      </c>
      <c r="F7" s="2" t="s">
        <v>18</v>
      </c>
      <c r="G7" s="2" t="s">
        <v>19</v>
      </c>
      <c r="H7" s="2" t="s">
        <v>20</v>
      </c>
      <c r="I7" s="3" t="s">
        <v>8</v>
      </c>
      <c r="J7" s="2"/>
    </row>
    <row r="8" spans="1:10" x14ac:dyDescent="0.3">
      <c r="A8" s="2"/>
      <c r="B8" s="2"/>
      <c r="C8" s="2"/>
      <c r="D8" s="2" t="s">
        <v>12</v>
      </c>
      <c r="E8" s="2" t="s">
        <v>17</v>
      </c>
      <c r="F8" s="2" t="s">
        <v>9</v>
      </c>
      <c r="G8" s="2" t="s">
        <v>19</v>
      </c>
      <c r="H8" s="2" t="s">
        <v>20</v>
      </c>
      <c r="I8" s="3" t="s">
        <v>8</v>
      </c>
      <c r="J8" s="2"/>
    </row>
    <row r="9" spans="1:10" ht="28.8" x14ac:dyDescent="0.3">
      <c r="A9" s="2"/>
      <c r="B9" s="2"/>
      <c r="C9" s="2" t="s">
        <v>33</v>
      </c>
      <c r="D9" s="2" t="s">
        <v>11</v>
      </c>
      <c r="E9" s="2" t="s">
        <v>21</v>
      </c>
      <c r="F9" s="2" t="s">
        <v>18</v>
      </c>
      <c r="G9" s="3" t="s">
        <v>23</v>
      </c>
      <c r="H9" s="2" t="s">
        <v>20</v>
      </c>
      <c r="I9" s="3" t="s">
        <v>25</v>
      </c>
      <c r="J9" s="2"/>
    </row>
    <row r="10" spans="1:10" ht="28.8" x14ac:dyDescent="0.3">
      <c r="A10" s="2"/>
      <c r="B10" s="2"/>
      <c r="C10" s="2"/>
      <c r="D10" s="2" t="s">
        <v>13</v>
      </c>
      <c r="E10" s="2" t="s">
        <v>21</v>
      </c>
      <c r="F10" s="2" t="s">
        <v>22</v>
      </c>
      <c r="G10" s="3" t="s">
        <v>24</v>
      </c>
      <c r="H10" s="2"/>
      <c r="I10" s="3" t="s">
        <v>25</v>
      </c>
      <c r="J10" s="2"/>
    </row>
    <row r="11" spans="1:10" x14ac:dyDescent="0.3">
      <c r="A11" s="2"/>
      <c r="B11" s="2"/>
      <c r="C11" s="2"/>
      <c r="D11" s="2" t="s">
        <v>14</v>
      </c>
      <c r="E11" s="2" t="s">
        <v>17</v>
      </c>
      <c r="F11" s="2" t="s">
        <v>9</v>
      </c>
      <c r="G11" s="2" t="s">
        <v>19</v>
      </c>
      <c r="H11" s="2" t="s">
        <v>20</v>
      </c>
      <c r="I11" s="3" t="s">
        <v>8</v>
      </c>
      <c r="J11" s="2"/>
    </row>
    <row r="12" spans="1:10" x14ac:dyDescent="0.3">
      <c r="A12" s="2"/>
      <c r="B12" s="2"/>
      <c r="C12" s="2"/>
      <c r="D12" s="2"/>
      <c r="E12" s="2"/>
      <c r="F12" s="2"/>
      <c r="G12" s="2"/>
      <c r="H12" s="2"/>
      <c r="I12" s="3"/>
      <c r="J12" s="2"/>
    </row>
    <row r="13" spans="1:10" x14ac:dyDescent="0.3">
      <c r="A13" s="2"/>
      <c r="B13" s="2" t="s">
        <v>26</v>
      </c>
      <c r="C13" s="2"/>
      <c r="D13" s="2"/>
      <c r="E13" s="2"/>
      <c r="F13" s="2"/>
      <c r="G13" s="2"/>
      <c r="H13" s="2"/>
      <c r="I13" s="3"/>
      <c r="J13" s="2"/>
    </row>
    <row r="14" spans="1:10" ht="28.8" x14ac:dyDescent="0.3">
      <c r="A14" s="2"/>
      <c r="B14" s="2"/>
      <c r="C14" s="2" t="s">
        <v>0</v>
      </c>
      <c r="D14" s="4">
        <v>3</v>
      </c>
      <c r="E14" s="4" t="s">
        <v>16</v>
      </c>
      <c r="F14" s="4" t="s">
        <v>16</v>
      </c>
      <c r="G14" s="2" t="s">
        <v>6</v>
      </c>
      <c r="H14" s="2" t="s">
        <v>7</v>
      </c>
      <c r="I14" s="5" t="s">
        <v>27</v>
      </c>
      <c r="J14" s="2"/>
    </row>
    <row r="15" spans="1:10" ht="28.8" x14ac:dyDescent="0.3">
      <c r="A15" s="2"/>
      <c r="B15" s="2"/>
      <c r="C15" s="2"/>
      <c r="D15" s="2" t="s">
        <v>5</v>
      </c>
      <c r="E15" s="2" t="s">
        <v>16</v>
      </c>
      <c r="F15" s="2" t="s">
        <v>16</v>
      </c>
      <c r="G15" s="2" t="s">
        <v>6</v>
      </c>
      <c r="H15" s="2" t="s">
        <v>9</v>
      </c>
      <c r="I15" s="5" t="s">
        <v>27</v>
      </c>
      <c r="J15" s="2"/>
    </row>
    <row r="16" spans="1:10" x14ac:dyDescent="0.3">
      <c r="A16" s="2"/>
      <c r="B16" s="2"/>
      <c r="C16" s="2" t="s">
        <v>10</v>
      </c>
      <c r="D16" s="2" t="s">
        <v>11</v>
      </c>
      <c r="E16" s="2" t="s">
        <v>29</v>
      </c>
      <c r="F16" s="2" t="s">
        <v>18</v>
      </c>
      <c r="G16" s="2" t="s">
        <v>31</v>
      </c>
      <c r="H16" s="2" t="s">
        <v>9</v>
      </c>
      <c r="I16" s="3" t="s">
        <v>8</v>
      </c>
      <c r="J16" s="2"/>
    </row>
    <row r="17" spans="1:10" x14ac:dyDescent="0.3">
      <c r="A17" s="2"/>
      <c r="B17" s="2"/>
      <c r="C17" s="2"/>
      <c r="D17" s="2" t="s">
        <v>12</v>
      </c>
      <c r="E17" s="2" t="s">
        <v>29</v>
      </c>
      <c r="F17" s="2" t="s">
        <v>9</v>
      </c>
      <c r="G17" s="2" t="s">
        <v>31</v>
      </c>
      <c r="H17" s="2" t="s">
        <v>9</v>
      </c>
      <c r="I17" s="3" t="s">
        <v>8</v>
      </c>
      <c r="J17" s="2"/>
    </row>
    <row r="18" spans="1:10" ht="28.8" x14ac:dyDescent="0.3">
      <c r="A18" s="2"/>
      <c r="B18" s="2"/>
      <c r="C18" s="2" t="s">
        <v>33</v>
      </c>
      <c r="D18" s="2" t="s">
        <v>11</v>
      </c>
      <c r="E18" s="2" t="s">
        <v>21</v>
      </c>
      <c r="F18" s="2" t="s">
        <v>18</v>
      </c>
      <c r="G18" s="2" t="s">
        <v>30</v>
      </c>
      <c r="H18" s="2" t="s">
        <v>22</v>
      </c>
      <c r="I18" s="3" t="s">
        <v>28</v>
      </c>
      <c r="J18" s="2"/>
    </row>
    <row r="19" spans="1:10" ht="28.8" x14ac:dyDescent="0.3">
      <c r="A19" s="2"/>
      <c r="B19" s="2"/>
      <c r="C19" s="2"/>
      <c r="D19" s="2" t="s">
        <v>13</v>
      </c>
      <c r="E19" s="2" t="s">
        <v>21</v>
      </c>
      <c r="F19" s="2" t="s">
        <v>22</v>
      </c>
      <c r="G19" s="2" t="s">
        <v>30</v>
      </c>
      <c r="H19" s="2" t="s">
        <v>22</v>
      </c>
      <c r="I19" s="3" t="s">
        <v>28</v>
      </c>
      <c r="J19" s="2"/>
    </row>
    <row r="20" spans="1:10" x14ac:dyDescent="0.3">
      <c r="A20" s="2"/>
      <c r="B20" s="2"/>
      <c r="C20" s="2"/>
      <c r="D20" s="2"/>
      <c r="E20" s="2"/>
      <c r="F20" s="2"/>
      <c r="G20" s="2"/>
      <c r="H20" s="2"/>
      <c r="I20" s="3"/>
      <c r="J20" s="2"/>
    </row>
    <row r="21" spans="1:10" x14ac:dyDescent="0.3">
      <c r="A21" s="2"/>
      <c r="B21" s="2" t="s">
        <v>32</v>
      </c>
      <c r="C21" s="2"/>
      <c r="D21" s="2"/>
      <c r="E21" s="2"/>
      <c r="F21" s="2"/>
      <c r="G21" s="2"/>
      <c r="H21" s="2"/>
      <c r="I21" s="3"/>
      <c r="J21" s="2"/>
    </row>
    <row r="22" spans="1:10" ht="43.2" x14ac:dyDescent="0.3">
      <c r="A22" s="2"/>
      <c r="B22" s="2"/>
      <c r="C22" s="2" t="s">
        <v>0</v>
      </c>
      <c r="D22" s="4">
        <v>3</v>
      </c>
      <c r="E22" s="4" t="s">
        <v>16</v>
      </c>
      <c r="F22" s="4" t="s">
        <v>16</v>
      </c>
      <c r="G22" s="3" t="s">
        <v>37</v>
      </c>
      <c r="H22" s="4" t="s">
        <v>18</v>
      </c>
      <c r="I22" s="5" t="s">
        <v>38</v>
      </c>
      <c r="J22" s="4" t="s">
        <v>18</v>
      </c>
    </row>
    <row r="23" spans="1:10" ht="47.25" customHeight="1" x14ac:dyDescent="0.3">
      <c r="A23" s="2"/>
      <c r="B23" s="2"/>
      <c r="C23" s="2"/>
      <c r="D23" s="2" t="s">
        <v>5</v>
      </c>
      <c r="E23" s="2" t="s">
        <v>16</v>
      </c>
      <c r="F23" s="2" t="s">
        <v>16</v>
      </c>
      <c r="G23" s="90" t="s">
        <v>39</v>
      </c>
      <c r="H23" s="90"/>
      <c r="I23" s="3" t="s">
        <v>40</v>
      </c>
      <c r="J23" s="2"/>
    </row>
    <row r="24" spans="1:10" ht="43.2" x14ac:dyDescent="0.3">
      <c r="A24" s="2"/>
      <c r="B24" s="2"/>
      <c r="C24" s="2" t="s">
        <v>10</v>
      </c>
      <c r="D24" s="4">
        <v>3</v>
      </c>
      <c r="E24" s="3" t="s">
        <v>34</v>
      </c>
      <c r="F24" s="2" t="s">
        <v>18</v>
      </c>
      <c r="G24" s="3" t="s">
        <v>41</v>
      </c>
      <c r="H24" s="2" t="s">
        <v>18</v>
      </c>
      <c r="I24" s="2"/>
      <c r="J24" s="2"/>
    </row>
    <row r="25" spans="1:10" ht="45" customHeight="1" x14ac:dyDescent="0.3">
      <c r="A25" s="2"/>
      <c r="B25" s="2"/>
      <c r="C25" s="2"/>
      <c r="D25" s="2" t="s">
        <v>5</v>
      </c>
      <c r="E25" s="90" t="s">
        <v>35</v>
      </c>
      <c r="F25" s="90"/>
      <c r="G25" s="90" t="s">
        <v>42</v>
      </c>
      <c r="H25" s="90"/>
      <c r="I25" s="90" t="s">
        <v>43</v>
      </c>
      <c r="J25" s="90"/>
    </row>
    <row r="26" spans="1:10" ht="46.5" customHeight="1" x14ac:dyDescent="0.3">
      <c r="A26" s="2"/>
      <c r="B26" s="2"/>
      <c r="C26" s="2" t="s">
        <v>33</v>
      </c>
      <c r="D26" s="4">
        <v>3</v>
      </c>
      <c r="E26" s="3" t="s">
        <v>36</v>
      </c>
      <c r="F26" s="6" t="s">
        <v>18</v>
      </c>
      <c r="G26" s="7" t="s">
        <v>44</v>
      </c>
      <c r="H26" s="6" t="s">
        <v>18</v>
      </c>
      <c r="I26" s="3" t="s">
        <v>46</v>
      </c>
      <c r="J26" s="3" t="s">
        <v>18</v>
      </c>
    </row>
    <row r="27" spans="1:10" ht="57.6" x14ac:dyDescent="0.3">
      <c r="A27" s="2"/>
      <c r="B27" s="2"/>
      <c r="C27" s="2"/>
      <c r="D27" s="2" t="s">
        <v>5</v>
      </c>
      <c r="E27" s="3" t="s">
        <v>36</v>
      </c>
      <c r="F27" s="6" t="s">
        <v>22</v>
      </c>
      <c r="G27" s="7" t="s">
        <v>45</v>
      </c>
      <c r="H27" s="6" t="s">
        <v>22</v>
      </c>
      <c r="I27" s="90" t="s">
        <v>47</v>
      </c>
      <c r="J27" s="90"/>
    </row>
    <row r="35" spans="3:3" x14ac:dyDescent="0.3">
      <c r="C35" s="2"/>
    </row>
  </sheetData>
  <mergeCells count="5">
    <mergeCell ref="E25:F25"/>
    <mergeCell ref="G23:H23"/>
    <mergeCell ref="G25:H25"/>
    <mergeCell ref="I25:J25"/>
    <mergeCell ref="I27:J27"/>
  </mergeCells>
  <pageMargins left="0.7" right="0.7" top="0.75" bottom="0.75" header="0.3" footer="0.3"/>
  <pageSetup orientation="portrait" horizontalDpi="4294967293"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5ACE084F9DBA24FAE0B0081DE59D504" ma:contentTypeVersion="8" ma:contentTypeDescription="Create a new document." ma:contentTypeScope="" ma:versionID="ac0bd3d4b2116d7b305dab6535042b03">
  <xsd:schema xmlns:xsd="http://www.w3.org/2001/XMLSchema" xmlns:xs="http://www.w3.org/2001/XMLSchema" xmlns:p="http://schemas.microsoft.com/office/2006/metadata/properties" xmlns:ns2="ef9f164f-ce5d-4991-85c4-789d412dc4b5" targetNamespace="http://schemas.microsoft.com/office/2006/metadata/properties" ma:root="true" ma:fieldsID="5cfcbb51e20337ef2e6a624f7f004d25" ns2:_="">
    <xsd:import namespace="ef9f164f-ce5d-4991-85c4-789d412dc4b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f9f164f-ce5d-4991-85c4-789d412dc4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81D7A1D-0549-4F48-8B7F-6FD2F84694F2}"/>
</file>

<file path=customXml/itemProps2.xml><?xml version="1.0" encoding="utf-8"?>
<ds:datastoreItem xmlns:ds="http://schemas.openxmlformats.org/officeDocument/2006/customXml" ds:itemID="{E0777675-1532-4B17-8BEA-98CA7E177812}">
  <ds:schemaRefs>
    <ds:schemaRef ds:uri="http://schemas.microsoft.com/sharepoint/v3/contenttype/forms"/>
  </ds:schemaRefs>
</ds:datastoreItem>
</file>

<file path=customXml/itemProps3.xml><?xml version="1.0" encoding="utf-8"?>
<ds:datastoreItem xmlns:ds="http://schemas.openxmlformats.org/officeDocument/2006/customXml" ds:itemID="{3EE107C4-77CD-4B53-9B5B-499DCC3E0B9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93</vt:i4>
      </vt:variant>
      <vt:variant>
        <vt:lpstr>Named Ranges</vt:lpstr>
      </vt:variant>
      <vt:variant>
        <vt:i4>1</vt:i4>
      </vt:variant>
    </vt:vector>
  </HeadingPairs>
  <TitlesOfParts>
    <vt:vector size="94" baseType="lpstr">
      <vt:lpstr>Summary</vt:lpstr>
      <vt:lpstr>Cost Assumptions</vt:lpstr>
      <vt:lpstr>LRMF NC Elec Baseboard</vt:lpstr>
      <vt:lpstr>LRMF NC Gas Condensing</vt:lpstr>
      <vt:lpstr>LRMF NC Gas Z3</vt:lpstr>
      <vt:lpstr>LRMF NC Gas Z4</vt:lpstr>
      <vt:lpstr>LRMF NC Gas Z6</vt:lpstr>
      <vt:lpstr>LRMF NC Gas Z9</vt:lpstr>
      <vt:lpstr>LRMF NC Gas Z10</vt:lpstr>
      <vt:lpstr>LRMF NC Gas Z12</vt:lpstr>
      <vt:lpstr>LRMF 90 Gas Z3</vt:lpstr>
      <vt:lpstr>LRMF 90 Gas Z4</vt:lpstr>
      <vt:lpstr>LRMF 90 Gas Z6</vt:lpstr>
      <vt:lpstr>LRMF 90 Gas Z9</vt:lpstr>
      <vt:lpstr>LRMF 90 Gas Z10</vt:lpstr>
      <vt:lpstr>LRMF 90 Gas Z12</vt:lpstr>
      <vt:lpstr>LRMF 78 Gas Z3</vt:lpstr>
      <vt:lpstr>LRMF 78 Gas Z4</vt:lpstr>
      <vt:lpstr>LRMF 78 Gas Z6</vt:lpstr>
      <vt:lpstr>LRMF 78 Gas Z9</vt:lpstr>
      <vt:lpstr>LRMF 78 Gas Z10</vt:lpstr>
      <vt:lpstr>LRMF 78 Gas Z12</vt:lpstr>
      <vt:lpstr>LRMF NC Electric Z3 S</vt:lpstr>
      <vt:lpstr>LRMF NC Electric Z3 O1</vt:lpstr>
      <vt:lpstr>LRMF NC Electric Z3 O2</vt:lpstr>
      <vt:lpstr>LRMF NC Electric Z4</vt:lpstr>
      <vt:lpstr>LRMF NC Electric Z4 O2</vt:lpstr>
      <vt:lpstr>LRMF NC Electric Z6</vt:lpstr>
      <vt:lpstr>LRMF NC Electric Z6 O2</vt:lpstr>
      <vt:lpstr>LRMF NC Electric Z9</vt:lpstr>
      <vt:lpstr>LRMF NC Electric Z9 O2</vt:lpstr>
      <vt:lpstr>LRMF NC Electric Z10</vt:lpstr>
      <vt:lpstr>LRMF NC Electric Z12</vt:lpstr>
      <vt:lpstr>LRMF NC Electric Z12 O2</vt:lpstr>
      <vt:lpstr>LRMF NC Electric Z3 S DL</vt:lpstr>
      <vt:lpstr>LRMF NC Electric Z3 O1 DL</vt:lpstr>
      <vt:lpstr>LRMF NC Electric Z3 O2 DL</vt:lpstr>
      <vt:lpstr>LRMF NC Electric Z6 DL</vt:lpstr>
      <vt:lpstr>LRMF NC Electric Z6 O2 DL</vt:lpstr>
      <vt:lpstr>LRMF NC Electric Z10 DL</vt:lpstr>
      <vt:lpstr>LRMF NC Electric Z12 O2 DL</vt:lpstr>
      <vt:lpstr>LRMF 90 Electric Z3 S</vt:lpstr>
      <vt:lpstr>LRMF 90 Electric Z3 O1</vt:lpstr>
      <vt:lpstr>LRMF 90 Electric Z3 O2</vt:lpstr>
      <vt:lpstr>LRMF 90 Electric Z4</vt:lpstr>
      <vt:lpstr>LRMF 90 Electric Z6</vt:lpstr>
      <vt:lpstr>LRMF 90 Electric Z9</vt:lpstr>
      <vt:lpstr>LRMF 90 Electric Z10</vt:lpstr>
      <vt:lpstr>LRMF 90 Electric Z12</vt:lpstr>
      <vt:lpstr>LRMF 78 Electric Z3 S</vt:lpstr>
      <vt:lpstr>LRMF 78 Electric Z3 O1</vt:lpstr>
      <vt:lpstr>LRMF 78 Electric Z4</vt:lpstr>
      <vt:lpstr>LRMF 78 Electric Z6</vt:lpstr>
      <vt:lpstr>LRMF 78 Electric Z9</vt:lpstr>
      <vt:lpstr>LRMF 78 Electric Z10</vt:lpstr>
      <vt:lpstr>LRMF 78 Electric Z12</vt:lpstr>
      <vt:lpstr>HRMF NC Gas Z3</vt:lpstr>
      <vt:lpstr>HRMF NC Electric Z3</vt:lpstr>
      <vt:lpstr>HRMF NC Gas Z4</vt:lpstr>
      <vt:lpstr>HRMF NC Electric Z4</vt:lpstr>
      <vt:lpstr>HRMF NC Gas Z6</vt:lpstr>
      <vt:lpstr>HRMF NC Electric Z6</vt:lpstr>
      <vt:lpstr>HRMF NC Gas Z9</vt:lpstr>
      <vt:lpstr>HRMF NC Electric Z9</vt:lpstr>
      <vt:lpstr>HRMF NC Gas Z10</vt:lpstr>
      <vt:lpstr>HRMF NC Electric Z10</vt:lpstr>
      <vt:lpstr>HRMF NC Gas Z12</vt:lpstr>
      <vt:lpstr>HRMF NC Electric Z12</vt:lpstr>
      <vt:lpstr>HRMF 90 Gas Z3</vt:lpstr>
      <vt:lpstr>HRMF 90 Electric Z3</vt:lpstr>
      <vt:lpstr>HRMF 90 Gas Z4</vt:lpstr>
      <vt:lpstr>HRMF 90 Electric Z4</vt:lpstr>
      <vt:lpstr>HRMF 90 Gas Z6</vt:lpstr>
      <vt:lpstr>HRMF 90 Electric Z6</vt:lpstr>
      <vt:lpstr>HRMF 90 Gas Z9</vt:lpstr>
      <vt:lpstr>HRMF 90 Electric Z9</vt:lpstr>
      <vt:lpstr>HRMF 90 Gas Z10</vt:lpstr>
      <vt:lpstr>HRMF 90 Electric Z10</vt:lpstr>
      <vt:lpstr>HRMF 90 Gas Z12</vt:lpstr>
      <vt:lpstr>HRMF 90 Electric Z12</vt:lpstr>
      <vt:lpstr>HRMF 78 Gas Z3</vt:lpstr>
      <vt:lpstr>HRMF 78 Electric Z3</vt:lpstr>
      <vt:lpstr>HRMF 78 Gas Z4</vt:lpstr>
      <vt:lpstr>HRMF 78 Electric Z4</vt:lpstr>
      <vt:lpstr>HRMF 78 Gas Z6</vt:lpstr>
      <vt:lpstr>HRMF 78 Electric Z6</vt:lpstr>
      <vt:lpstr>HRMF 78 Gas Z9</vt:lpstr>
      <vt:lpstr>HRMF 78 Electric Z9</vt:lpstr>
      <vt:lpstr>HRMF 78 Gas Z10</vt:lpstr>
      <vt:lpstr>HRMF 78 Electric Z10</vt:lpstr>
      <vt:lpstr>HRMF 78 Gas Z12</vt:lpstr>
      <vt:lpstr>HRMF 78 Electric Z12</vt:lpstr>
      <vt:lpstr>HVAC</vt:lpstr>
      <vt:lpstr>zone_lu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DorranCarys</dc:creator>
  <cp:lastModifiedBy>Michael Sontag</cp:lastModifiedBy>
  <cp:lastPrinted>2018-07-25T04:49:37Z</cp:lastPrinted>
  <dcterms:created xsi:type="dcterms:W3CDTF">2018-07-18T17:28:48Z</dcterms:created>
  <dcterms:modified xsi:type="dcterms:W3CDTF">2022-02-08T22:59:21Z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0x010100B5ACE084F9DBA24FAE0B0081DE59D504</vt:lpwstr>
  </property>
</Properties>
</file>